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7.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8.xml" ContentType="application/vnd.openxmlformats-officedocument.drawing+xml"/>
  <Override PartName="/xl/ctrlProps/ctrlProp51.xml" ContentType="application/vnd.ms-excel.controlproperties+xml"/>
  <Override PartName="/xl/ctrlProps/ctrlProp52.xml" ContentType="application/vnd.ms-excel.controlproperties+xml"/>
  <Override PartName="/xl/drawings/drawing9.xml" ContentType="application/vnd.openxmlformats-officedocument.drawing+xml"/>
  <Override PartName="/xl/ctrlProps/ctrlProp53.xml" ContentType="application/vnd.ms-excel.controlproperties+xml"/>
  <Override PartName="/xl/drawings/drawing10.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codeName="{4D1C537B-E38A-612A-F078-A93A15B4B7F4}"/>
  <workbookPr codeName="ThisWorkbook"/>
  <mc:AlternateContent xmlns:mc="http://schemas.openxmlformats.org/markup-compatibility/2006">
    <mc:Choice Requires="x15">
      <x15ac:absPath xmlns:x15ac="http://schemas.microsoft.com/office/spreadsheetml/2010/11/ac" url="K:\Users\Podpora_predaja\Predajny portal\Dokumenty na portal\URAZ\Union Istota\"/>
    </mc:Choice>
  </mc:AlternateContent>
  <xr:revisionPtr revIDLastSave="0" documentId="8_{BD42D7B0-6695-45F4-8B94-4D1A4381F3F7}" xr6:coauthVersionLast="46" xr6:coauthVersionMax="46" xr10:uidLastSave="{00000000-0000-0000-0000-000000000000}"/>
  <bookViews>
    <workbookView xWindow="7764" yWindow="1704" windowWidth="14088" windowHeight="7824" tabRatio="729" firstSheet="1" activeTab="2" xr2:uid="{00000000-000D-0000-FFFF-FFFF00000000}"/>
  </bookViews>
  <sheets>
    <sheet name="vstup" sheetId="1" state="hidden" r:id="rId1"/>
    <sheet name="POMOC" sheetId="27" r:id="rId2"/>
    <sheet name="Poistné" sheetId="5" r:id="rId3"/>
    <sheet name="Ponuka" sheetId="15" r:id="rId4"/>
    <sheet name="Osobne_udaje" sheetId="20" r:id="rId5"/>
    <sheet name="PZ_1" sheetId="21" r:id="rId6"/>
    <sheet name="zdravotny_dotaznik_1" sheetId="22" r:id="rId7"/>
    <sheet name="zdravotny_dotaznik_2" sheetId="23" r:id="rId8"/>
    <sheet name="PZ_4" sheetId="24" r:id="rId9"/>
    <sheet name="PZ_5" sheetId="26" r:id="rId10"/>
    <sheet name="PZ " sheetId="17" state="hidden" r:id="rId11"/>
    <sheet name="info_formular" sheetId="28" r:id="rId12"/>
    <sheet name="pc" sheetId="18" r:id="rId13"/>
    <sheet name="zc" sheetId="19" r:id="rId14"/>
  </sheets>
  <externalReferences>
    <externalReference r:id="rId15"/>
  </externalReferences>
  <definedNames>
    <definedName name="_xlnm._FilterDatabase" localSheetId="2" hidden="1">Poistné!$A$3:$F$25</definedName>
    <definedName name="_tnu2">Poistné!$E$25</definedName>
    <definedName name="_tnu450">Poistné!$C$18</definedName>
    <definedName name="avizo">Poistné!$C$9</definedName>
    <definedName name="b">Poistné!$C$25</definedName>
    <definedName name="Bronze_D">Poistné!$B$51</definedName>
    <definedName name="cislo_PZ">Osobne_udaje!$C$6</definedName>
    <definedName name="cnl">Poistné!$C$21</definedName>
    <definedName name="deti">Poistné!#REF!</definedName>
    <definedName name="dn">Poistné!$C$22</definedName>
    <definedName name="do">Poistné!$C$20</definedName>
    <definedName name="dospely">Poistné!$B$50</definedName>
    <definedName name="Gold_D">Poistné!$B$53</definedName>
    <definedName name="kch">Poistné!$C$24</definedName>
    <definedName name="mo">Poistné!$C$23</definedName>
    <definedName name="n">Poistné!$C$6</definedName>
    <definedName name="_xlnm.Print_Area" localSheetId="11">info_formular!$B$1:$N$24</definedName>
    <definedName name="_xlnm.Print_Area" localSheetId="2">Poistné!$A$1:$E$40</definedName>
    <definedName name="_xlnm.Print_Area" localSheetId="3">Ponuka!$B$1:$F$35</definedName>
    <definedName name="_xlnm.Print_Area" localSheetId="10">'PZ '!$A$1:$BI$87</definedName>
    <definedName name="_xlnm.Print_Area" localSheetId="5">PZ_1!$B$2:$BE$66</definedName>
    <definedName name="_xlnm.Print_Area" localSheetId="8">PZ_4!$B$5:$BD$39</definedName>
    <definedName name="_xlnm.Print_Area" localSheetId="9">PZ_5!$B$6:$BD$27</definedName>
    <definedName name="_xlnm.Print_Area" localSheetId="13">zc!$A$1:$G$49</definedName>
    <definedName name="_xlnm.Print_Area" localSheetId="6">zdravotny_dotaznik_1!$B$5:$BE$77</definedName>
    <definedName name="_xlnm.Print_Area" localSheetId="7">zdravotny_dotaznik_2!$B$5:$BE$48</definedName>
    <definedName name="OK">[1]Poistné!$G$3</definedName>
    <definedName name="OK_1">zdravotny_dotaznik_1!$AO$2</definedName>
    <definedName name="OK_2">zdravotny_dotaznik_2!$AL$2</definedName>
    <definedName name="OK_3">#REF!</definedName>
    <definedName name="OK_4">PZ_5!$J$2</definedName>
    <definedName name="pocetdeti">Poistné!$C$31</definedName>
    <definedName name="RCD">Poistné!$C$5</definedName>
    <definedName name="rs">Poistné!$C$15</definedName>
    <definedName name="sadzba_1baldeti">vstup!$D$103</definedName>
    <definedName name="sadzba_2baldeti">vstup!$J$103</definedName>
    <definedName name="sadzba_3baldeti">vstup!$P$103</definedName>
    <definedName name="Silver_D">Poistné!$B$52</definedName>
    <definedName name="solver_adj" localSheetId="2" hidden="1">Poistné!#REF!</definedName>
    <definedName name="solver_cvg" localSheetId="2" hidden="1">0.001</definedName>
    <definedName name="solver_drv" localSheetId="2" hidden="1">1</definedName>
    <definedName name="solver_est" localSheetId="2" hidden="1">1</definedName>
    <definedName name="solver_itr" localSheetId="2" hidden="1">100</definedName>
    <definedName name="solver_lin" localSheetId="2" hidden="1">2</definedName>
    <definedName name="solver_neg" localSheetId="2" hidden="1">2</definedName>
    <definedName name="solver_num" localSheetId="2" hidden="1">0</definedName>
    <definedName name="solver_nwt" localSheetId="2" hidden="1">1</definedName>
    <definedName name="solver_opt" localSheetId="2" hidden="1">Poistné!#REF!</definedName>
    <definedName name="solver_pre" localSheetId="2" hidden="1">0.000001</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1600</definedName>
    <definedName name="sprievodka">PZ_5!$18:$25</definedName>
    <definedName name="su">Poistné!$C$19</definedName>
    <definedName name="suhlas">Poistné!$Q$2</definedName>
    <definedName name="t">Poistné!$C$8</definedName>
    <definedName name="test">Poistné!$F$3</definedName>
    <definedName name="test_1">Osobne_udaje!$E$2</definedName>
    <definedName name="test1">Poistné!$H$3</definedName>
    <definedName name="tlac_PZ_6">PZ_5!$B$6:$BD$26</definedName>
    <definedName name="tnu">Poistné!$C$17</definedName>
    <definedName name="x">Poistné!$C$14</definedName>
    <definedName name="xd">Poistné!$C$30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 i="5" l="1"/>
  <c r="O21" i="28"/>
  <c r="BH10" i="26" l="1"/>
  <c r="BH18" i="24" l="1"/>
  <c r="BH27" i="24" l="1"/>
  <c r="BH24" i="24"/>
  <c r="BH22" i="24"/>
  <c r="BH15" i="24"/>
  <c r="BH13" i="24" l="1"/>
  <c r="G2" i="24" s="1"/>
  <c r="D3" i="15" l="1"/>
  <c r="F4" i="5" l="1"/>
  <c r="F40" i="20" l="1"/>
  <c r="BM5" i="23" l="1"/>
  <c r="BK4" i="23"/>
  <c r="BK7" i="23"/>
  <c r="BK49" i="22"/>
  <c r="BK40" i="22"/>
  <c r="E49" i="20" l="1"/>
  <c r="E48" i="20"/>
  <c r="E47" i="20"/>
  <c r="E46" i="20"/>
  <c r="E45" i="20"/>
  <c r="E44" i="20"/>
  <c r="E38" i="20"/>
  <c r="E35" i="20"/>
  <c r="E34" i="20"/>
  <c r="E33" i="20"/>
  <c r="E29" i="20"/>
  <c r="E28" i="20"/>
  <c r="L2" i="5" l="1"/>
  <c r="J68" i="20" l="1"/>
  <c r="F68" i="20" s="1"/>
  <c r="C46" i="21" l="1"/>
  <c r="BK75" i="22" l="1"/>
  <c r="BK72" i="22"/>
  <c r="BK70" i="22"/>
  <c r="BK68" i="22"/>
  <c r="BK61" i="22"/>
  <c r="BK58" i="22"/>
  <c r="BK54" i="22"/>
  <c r="BK45" i="22"/>
  <c r="BK47" i="22"/>
  <c r="BK43" i="22"/>
  <c r="Q2" i="5" l="1"/>
  <c r="F2" i="5"/>
  <c r="B6" i="1"/>
  <c r="P102" i="1"/>
  <c r="P101" i="1"/>
  <c r="P100" i="1"/>
  <c r="J102" i="1"/>
  <c r="J101" i="1"/>
  <c r="J100" i="1"/>
  <c r="D101" i="1"/>
  <c r="D102" i="1"/>
  <c r="D100" i="1"/>
  <c r="T92" i="1"/>
  <c r="U92" i="1"/>
  <c r="V92" i="1"/>
  <c r="W92" i="1"/>
  <c r="T93" i="1"/>
  <c r="U93" i="1"/>
  <c r="V93" i="1"/>
  <c r="W93" i="1"/>
  <c r="T94" i="1"/>
  <c r="U94" i="1"/>
  <c r="V94" i="1"/>
  <c r="W94" i="1"/>
  <c r="T95" i="1"/>
  <c r="U95" i="1"/>
  <c r="V95" i="1"/>
  <c r="W95" i="1"/>
  <c r="T96" i="1"/>
  <c r="U96" i="1"/>
  <c r="V96" i="1"/>
  <c r="W96" i="1"/>
  <c r="T97" i="1"/>
  <c r="U97" i="1"/>
  <c r="V97" i="1"/>
  <c r="W97" i="1"/>
  <c r="T98" i="1"/>
  <c r="U98" i="1"/>
  <c r="V98" i="1"/>
  <c r="W98" i="1"/>
  <c r="T99" i="1"/>
  <c r="U99" i="1"/>
  <c r="V99" i="1"/>
  <c r="W99" i="1"/>
  <c r="T100" i="1"/>
  <c r="U100" i="1"/>
  <c r="V100" i="1"/>
  <c r="W100" i="1"/>
  <c r="T101" i="1"/>
  <c r="U101" i="1"/>
  <c r="V101" i="1"/>
  <c r="W101" i="1"/>
  <c r="T102" i="1"/>
  <c r="U102" i="1"/>
  <c r="V102" i="1"/>
  <c r="W102" i="1"/>
  <c r="T103" i="1"/>
  <c r="U103" i="1"/>
  <c r="V103" i="1"/>
  <c r="W103" i="1"/>
  <c r="T104" i="1"/>
  <c r="U104" i="1"/>
  <c r="V104" i="1"/>
  <c r="W104" i="1"/>
  <c r="T105" i="1"/>
  <c r="U105" i="1"/>
  <c r="V105" i="1"/>
  <c r="W105" i="1"/>
  <c r="T106" i="1"/>
  <c r="U106" i="1"/>
  <c r="V106" i="1"/>
  <c r="W106" i="1"/>
  <c r="T107" i="1"/>
  <c r="U107" i="1"/>
  <c r="V107" i="1"/>
  <c r="W107" i="1"/>
  <c r="T108" i="1"/>
  <c r="U108" i="1"/>
  <c r="V108" i="1"/>
  <c r="W108" i="1"/>
  <c r="T109" i="1"/>
  <c r="U109" i="1"/>
  <c r="V109" i="1"/>
  <c r="W109" i="1"/>
  <c r="T110" i="1"/>
  <c r="U110" i="1"/>
  <c r="V110" i="1"/>
  <c r="W110" i="1"/>
  <c r="T111" i="1"/>
  <c r="U111" i="1"/>
  <c r="V111" i="1"/>
  <c r="W111" i="1"/>
  <c r="T112" i="1"/>
  <c r="U112" i="1"/>
  <c r="V112" i="1"/>
  <c r="W112" i="1"/>
  <c r="W91" i="1"/>
  <c r="V91" i="1"/>
  <c r="U91" i="1"/>
  <c r="T91" i="1"/>
  <c r="W90" i="1"/>
  <c r="V90" i="1"/>
  <c r="U90" i="1"/>
  <c r="T90" i="1"/>
  <c r="W89" i="1"/>
  <c r="V89" i="1"/>
  <c r="U89" i="1"/>
  <c r="T89" i="1"/>
  <c r="W88" i="1"/>
  <c r="V88" i="1"/>
  <c r="U88" i="1"/>
  <c r="T88" i="1"/>
  <c r="W87" i="1"/>
  <c r="V87" i="1"/>
  <c r="U87" i="1"/>
  <c r="T87" i="1"/>
  <c r="W86" i="1"/>
  <c r="V86" i="1"/>
  <c r="U86" i="1"/>
  <c r="T86" i="1"/>
  <c r="W85" i="1"/>
  <c r="V85" i="1"/>
  <c r="U85" i="1"/>
  <c r="T85" i="1"/>
  <c r="W84" i="1"/>
  <c r="V84" i="1"/>
  <c r="U84" i="1"/>
  <c r="T84" i="1"/>
  <c r="W83" i="1"/>
  <c r="V83" i="1"/>
  <c r="U83" i="1"/>
  <c r="T83" i="1"/>
  <c r="W82" i="1"/>
  <c r="V82" i="1"/>
  <c r="U82" i="1"/>
  <c r="T82" i="1"/>
  <c r="W81" i="1"/>
  <c r="V81" i="1"/>
  <c r="U81" i="1"/>
  <c r="T81" i="1"/>
  <c r="W80" i="1"/>
  <c r="V80" i="1"/>
  <c r="U80" i="1"/>
  <c r="T80" i="1"/>
  <c r="W79" i="1"/>
  <c r="V79" i="1"/>
  <c r="U79" i="1"/>
  <c r="T79" i="1"/>
  <c r="W78" i="1"/>
  <c r="V78" i="1"/>
  <c r="U78" i="1"/>
  <c r="T78" i="1"/>
  <c r="W77" i="1"/>
  <c r="V77" i="1"/>
  <c r="U77" i="1"/>
  <c r="T77" i="1"/>
  <c r="W76" i="1"/>
  <c r="V76" i="1"/>
  <c r="U76" i="1"/>
  <c r="T76" i="1"/>
  <c r="W75" i="1"/>
  <c r="V75" i="1"/>
  <c r="U75" i="1"/>
  <c r="T75" i="1"/>
  <c r="W74" i="1"/>
  <c r="V74" i="1"/>
  <c r="U74" i="1"/>
  <c r="T74" i="1"/>
  <c r="W73" i="1"/>
  <c r="V73" i="1"/>
  <c r="U73" i="1"/>
  <c r="T73" i="1"/>
  <c r="W72" i="1"/>
  <c r="V72" i="1"/>
  <c r="U72" i="1"/>
  <c r="T72" i="1"/>
  <c r="W71" i="1"/>
  <c r="V71" i="1"/>
  <c r="U71" i="1"/>
  <c r="T71" i="1"/>
  <c r="W70" i="1"/>
  <c r="V70" i="1"/>
  <c r="U70" i="1"/>
  <c r="T70" i="1"/>
  <c r="W69" i="1"/>
  <c r="V69" i="1"/>
  <c r="U69" i="1"/>
  <c r="T69" i="1"/>
  <c r="W68" i="1"/>
  <c r="V68" i="1"/>
  <c r="U68" i="1"/>
  <c r="T68" i="1"/>
  <c r="W67" i="1"/>
  <c r="V67" i="1"/>
  <c r="U67" i="1"/>
  <c r="T67" i="1"/>
  <c r="W66" i="1"/>
  <c r="V66" i="1"/>
  <c r="U66" i="1"/>
  <c r="T66" i="1"/>
  <c r="W65" i="1"/>
  <c r="V65" i="1"/>
  <c r="U65" i="1"/>
  <c r="T65" i="1"/>
  <c r="W64" i="1"/>
  <c r="V64" i="1"/>
  <c r="U64" i="1"/>
  <c r="T64" i="1"/>
  <c r="W63" i="1"/>
  <c r="V63" i="1"/>
  <c r="U63" i="1"/>
  <c r="T63" i="1"/>
  <c r="W62" i="1"/>
  <c r="V62" i="1"/>
  <c r="U62" i="1"/>
  <c r="T62" i="1"/>
  <c r="W61" i="1"/>
  <c r="V61" i="1"/>
  <c r="U61" i="1"/>
  <c r="T61" i="1"/>
  <c r="N84" i="1"/>
  <c r="O84" i="1"/>
  <c r="P84" i="1"/>
  <c r="Q84" i="1"/>
  <c r="N85" i="1"/>
  <c r="O85" i="1"/>
  <c r="P85" i="1"/>
  <c r="Q85" i="1"/>
  <c r="N86" i="1"/>
  <c r="O86" i="1"/>
  <c r="P86" i="1"/>
  <c r="Q86" i="1"/>
  <c r="N87" i="1"/>
  <c r="O87" i="1"/>
  <c r="P87" i="1"/>
  <c r="Q87" i="1"/>
  <c r="N88" i="1"/>
  <c r="O88" i="1"/>
  <c r="P88" i="1"/>
  <c r="Q88" i="1"/>
  <c r="N89" i="1"/>
  <c r="O89" i="1"/>
  <c r="P89" i="1"/>
  <c r="Q89" i="1"/>
  <c r="N90" i="1"/>
  <c r="O90" i="1"/>
  <c r="P90" i="1"/>
  <c r="Q90" i="1"/>
  <c r="N91" i="1"/>
  <c r="O91" i="1"/>
  <c r="P91" i="1"/>
  <c r="Q91" i="1"/>
  <c r="Q83" i="1"/>
  <c r="P83" i="1"/>
  <c r="O83" i="1"/>
  <c r="N83" i="1"/>
  <c r="Q82" i="1"/>
  <c r="P82" i="1"/>
  <c r="O82" i="1"/>
  <c r="N82" i="1"/>
  <c r="Q81" i="1"/>
  <c r="P81" i="1"/>
  <c r="O81" i="1"/>
  <c r="N81" i="1"/>
  <c r="Q80" i="1"/>
  <c r="P80" i="1"/>
  <c r="O80" i="1"/>
  <c r="N80" i="1"/>
  <c r="Q79" i="1"/>
  <c r="P79" i="1"/>
  <c r="O79" i="1"/>
  <c r="N79" i="1"/>
  <c r="Q78" i="1"/>
  <c r="P78" i="1"/>
  <c r="O78" i="1"/>
  <c r="N78" i="1"/>
  <c r="Q77" i="1"/>
  <c r="P77" i="1"/>
  <c r="O77" i="1"/>
  <c r="N77" i="1"/>
  <c r="Q76" i="1"/>
  <c r="P76" i="1"/>
  <c r="O76" i="1"/>
  <c r="N76" i="1"/>
  <c r="Q75" i="1"/>
  <c r="P75" i="1"/>
  <c r="O75" i="1"/>
  <c r="N75" i="1"/>
  <c r="Q74" i="1"/>
  <c r="P74" i="1"/>
  <c r="O74" i="1"/>
  <c r="N74" i="1"/>
  <c r="Q73" i="1"/>
  <c r="P73" i="1"/>
  <c r="O73" i="1"/>
  <c r="N73" i="1"/>
  <c r="Q72" i="1"/>
  <c r="P72" i="1"/>
  <c r="O72" i="1"/>
  <c r="N72" i="1"/>
  <c r="Q71" i="1"/>
  <c r="P71" i="1"/>
  <c r="O71" i="1"/>
  <c r="N71" i="1"/>
  <c r="Q70" i="1"/>
  <c r="P70" i="1"/>
  <c r="O70" i="1"/>
  <c r="N70" i="1"/>
  <c r="Q69" i="1"/>
  <c r="P69" i="1"/>
  <c r="O69" i="1"/>
  <c r="N69" i="1"/>
  <c r="Q68" i="1"/>
  <c r="P68" i="1"/>
  <c r="O68" i="1"/>
  <c r="N68" i="1"/>
  <c r="Q67" i="1"/>
  <c r="P67" i="1"/>
  <c r="O67" i="1"/>
  <c r="N67" i="1"/>
  <c r="Q66" i="1"/>
  <c r="P66" i="1"/>
  <c r="O66" i="1"/>
  <c r="N66" i="1"/>
  <c r="Q65" i="1"/>
  <c r="P65" i="1"/>
  <c r="O65" i="1"/>
  <c r="N65" i="1"/>
  <c r="Q64" i="1"/>
  <c r="P64" i="1"/>
  <c r="O64" i="1"/>
  <c r="N64" i="1"/>
  <c r="Q63" i="1"/>
  <c r="P63" i="1"/>
  <c r="O63" i="1"/>
  <c r="N63" i="1"/>
  <c r="Q62" i="1"/>
  <c r="P62" i="1"/>
  <c r="O62" i="1"/>
  <c r="N62" i="1"/>
  <c r="Q61" i="1"/>
  <c r="P61" i="1"/>
  <c r="O61" i="1"/>
  <c r="N61" i="1"/>
  <c r="K83" i="1"/>
  <c r="J83" i="1"/>
  <c r="I83" i="1"/>
  <c r="H83" i="1"/>
  <c r="K82" i="1"/>
  <c r="J82" i="1"/>
  <c r="I82" i="1"/>
  <c r="H82" i="1"/>
  <c r="K81" i="1"/>
  <c r="J81" i="1"/>
  <c r="I81" i="1"/>
  <c r="H81" i="1"/>
  <c r="K80" i="1"/>
  <c r="J80" i="1"/>
  <c r="I80" i="1"/>
  <c r="H80" i="1"/>
  <c r="K79" i="1"/>
  <c r="J79" i="1"/>
  <c r="I79" i="1"/>
  <c r="H79" i="1"/>
  <c r="K78" i="1"/>
  <c r="J78" i="1"/>
  <c r="I78" i="1"/>
  <c r="H78" i="1"/>
  <c r="K77" i="1"/>
  <c r="J77" i="1"/>
  <c r="I77" i="1"/>
  <c r="H77" i="1"/>
  <c r="K76" i="1"/>
  <c r="J76" i="1"/>
  <c r="I76" i="1"/>
  <c r="H76" i="1"/>
  <c r="K75" i="1"/>
  <c r="J75" i="1"/>
  <c r="I75" i="1"/>
  <c r="H75" i="1"/>
  <c r="K74" i="1"/>
  <c r="J74" i="1"/>
  <c r="I74" i="1"/>
  <c r="H74" i="1"/>
  <c r="K73" i="1"/>
  <c r="J73" i="1"/>
  <c r="I73" i="1"/>
  <c r="H73" i="1"/>
  <c r="K72" i="1"/>
  <c r="J72" i="1"/>
  <c r="I72" i="1"/>
  <c r="H72" i="1"/>
  <c r="K71" i="1"/>
  <c r="J71" i="1"/>
  <c r="I71" i="1"/>
  <c r="H71" i="1"/>
  <c r="K70" i="1"/>
  <c r="J70" i="1"/>
  <c r="I70" i="1"/>
  <c r="H70" i="1"/>
  <c r="K69" i="1"/>
  <c r="J69" i="1"/>
  <c r="I69" i="1"/>
  <c r="H69" i="1"/>
  <c r="K68" i="1"/>
  <c r="J68" i="1"/>
  <c r="I68" i="1"/>
  <c r="H68" i="1"/>
  <c r="K67" i="1"/>
  <c r="J67" i="1"/>
  <c r="I67" i="1"/>
  <c r="H67" i="1"/>
  <c r="K66" i="1"/>
  <c r="J66" i="1"/>
  <c r="I66" i="1"/>
  <c r="H66" i="1"/>
  <c r="K65" i="1"/>
  <c r="J65" i="1"/>
  <c r="I65" i="1"/>
  <c r="H65" i="1"/>
  <c r="K64" i="1"/>
  <c r="J64" i="1"/>
  <c r="I64" i="1"/>
  <c r="H64" i="1"/>
  <c r="K63" i="1"/>
  <c r="J63" i="1"/>
  <c r="I63" i="1"/>
  <c r="H63" i="1"/>
  <c r="K62" i="1"/>
  <c r="J62" i="1"/>
  <c r="I62" i="1"/>
  <c r="H62" i="1"/>
  <c r="K61" i="1"/>
  <c r="J61" i="1"/>
  <c r="I61" i="1"/>
  <c r="H61" i="1"/>
  <c r="B90" i="1"/>
  <c r="C90" i="1"/>
  <c r="D90" i="1"/>
  <c r="E90" i="1"/>
  <c r="B91" i="1"/>
  <c r="C91" i="1"/>
  <c r="D91" i="1"/>
  <c r="E91" i="1"/>
  <c r="B92" i="1"/>
  <c r="C92" i="1"/>
  <c r="D92" i="1"/>
  <c r="E92" i="1"/>
  <c r="B93" i="1"/>
  <c r="C93" i="1"/>
  <c r="D93" i="1"/>
  <c r="E93" i="1"/>
  <c r="B94" i="1"/>
  <c r="C94" i="1"/>
  <c r="D94" i="1"/>
  <c r="E94" i="1"/>
  <c r="E89" i="1"/>
  <c r="D89" i="1"/>
  <c r="C89" i="1"/>
  <c r="B89" i="1"/>
  <c r="E88" i="1"/>
  <c r="D88" i="1"/>
  <c r="C88" i="1"/>
  <c r="B88" i="1"/>
  <c r="E87" i="1"/>
  <c r="D87" i="1"/>
  <c r="C87" i="1"/>
  <c r="B87" i="1"/>
  <c r="E86" i="1"/>
  <c r="D86" i="1"/>
  <c r="C86" i="1"/>
  <c r="B86" i="1"/>
  <c r="E85" i="1"/>
  <c r="D85" i="1"/>
  <c r="C85" i="1"/>
  <c r="B85" i="1"/>
  <c r="E84" i="1"/>
  <c r="D84" i="1"/>
  <c r="C84" i="1"/>
  <c r="B84" i="1"/>
  <c r="E83" i="1"/>
  <c r="D83" i="1"/>
  <c r="C83" i="1"/>
  <c r="B83" i="1"/>
  <c r="E82" i="1"/>
  <c r="D82" i="1"/>
  <c r="C82" i="1"/>
  <c r="B82" i="1"/>
  <c r="E81" i="1"/>
  <c r="D81" i="1"/>
  <c r="C81" i="1"/>
  <c r="B81" i="1"/>
  <c r="E80" i="1"/>
  <c r="D80" i="1"/>
  <c r="C80" i="1"/>
  <c r="B80" i="1"/>
  <c r="E79" i="1"/>
  <c r="D79" i="1"/>
  <c r="C79" i="1"/>
  <c r="B79" i="1"/>
  <c r="E78" i="1"/>
  <c r="D78" i="1"/>
  <c r="C78" i="1"/>
  <c r="B78" i="1"/>
  <c r="E77" i="1"/>
  <c r="D77" i="1"/>
  <c r="C77" i="1"/>
  <c r="B77" i="1"/>
  <c r="E76" i="1"/>
  <c r="D76" i="1"/>
  <c r="C76" i="1"/>
  <c r="B76" i="1"/>
  <c r="E75" i="1"/>
  <c r="D75" i="1"/>
  <c r="C75" i="1"/>
  <c r="B75" i="1"/>
  <c r="E74" i="1"/>
  <c r="D74" i="1"/>
  <c r="C74" i="1"/>
  <c r="B74" i="1"/>
  <c r="E73" i="1"/>
  <c r="D73" i="1"/>
  <c r="C73" i="1"/>
  <c r="B73" i="1"/>
  <c r="E72" i="1"/>
  <c r="D72" i="1"/>
  <c r="C72" i="1"/>
  <c r="B72" i="1"/>
  <c r="E71" i="1"/>
  <c r="D71" i="1"/>
  <c r="C71" i="1"/>
  <c r="B71" i="1"/>
  <c r="E70" i="1"/>
  <c r="D70" i="1"/>
  <c r="C70" i="1"/>
  <c r="B70" i="1"/>
  <c r="E69" i="1"/>
  <c r="D69" i="1"/>
  <c r="C69" i="1"/>
  <c r="B69" i="1"/>
  <c r="E68" i="1"/>
  <c r="D68" i="1"/>
  <c r="C68" i="1"/>
  <c r="B68" i="1"/>
  <c r="E67" i="1"/>
  <c r="D67" i="1"/>
  <c r="C67" i="1"/>
  <c r="B67" i="1"/>
  <c r="E66" i="1"/>
  <c r="D66" i="1"/>
  <c r="C66" i="1"/>
  <c r="B66" i="1"/>
  <c r="E65" i="1"/>
  <c r="D65" i="1"/>
  <c r="C65" i="1"/>
  <c r="B65" i="1"/>
  <c r="E64" i="1"/>
  <c r="D64" i="1"/>
  <c r="C64" i="1"/>
  <c r="B64" i="1"/>
  <c r="E63" i="1"/>
  <c r="D63" i="1"/>
  <c r="C63" i="1"/>
  <c r="B63" i="1"/>
  <c r="E62" i="1"/>
  <c r="D62" i="1"/>
  <c r="C62" i="1"/>
  <c r="B62" i="1"/>
  <c r="E61" i="1"/>
  <c r="D61" i="1"/>
  <c r="C61" i="1"/>
  <c r="B61" i="1"/>
  <c r="N47" i="1"/>
  <c r="O47" i="1"/>
  <c r="P47" i="1"/>
  <c r="Q47" i="1"/>
  <c r="N48" i="1"/>
  <c r="O48" i="1"/>
  <c r="P48" i="1"/>
  <c r="Q48" i="1"/>
  <c r="Q46" i="1"/>
  <c r="P46" i="1"/>
  <c r="O46" i="1"/>
  <c r="N46" i="1"/>
  <c r="Q45" i="1"/>
  <c r="P45" i="1"/>
  <c r="O45" i="1"/>
  <c r="N45" i="1"/>
  <c r="Q44" i="1"/>
  <c r="P44" i="1"/>
  <c r="O44" i="1"/>
  <c r="N44" i="1"/>
  <c r="Q43" i="1"/>
  <c r="P43" i="1"/>
  <c r="O43" i="1"/>
  <c r="N43" i="1"/>
  <c r="Q42" i="1"/>
  <c r="P42" i="1"/>
  <c r="O42" i="1"/>
  <c r="N42" i="1"/>
  <c r="Q41" i="1"/>
  <c r="P41" i="1"/>
  <c r="O41" i="1"/>
  <c r="N41" i="1"/>
  <c r="Q40" i="1"/>
  <c r="P40" i="1"/>
  <c r="O40" i="1"/>
  <c r="N40" i="1"/>
  <c r="Q39" i="1"/>
  <c r="P39" i="1"/>
  <c r="O39" i="1"/>
  <c r="N39" i="1"/>
  <c r="Q38" i="1"/>
  <c r="P38" i="1"/>
  <c r="O38" i="1"/>
  <c r="N38" i="1"/>
  <c r="Q37" i="1"/>
  <c r="P37" i="1"/>
  <c r="O37" i="1"/>
  <c r="N37" i="1"/>
  <c r="Q36" i="1"/>
  <c r="P36" i="1"/>
  <c r="O36" i="1"/>
  <c r="N36" i="1"/>
  <c r="Q35" i="1"/>
  <c r="P35" i="1"/>
  <c r="O35" i="1"/>
  <c r="N35" i="1"/>
  <c r="Q34" i="1"/>
  <c r="P34" i="1"/>
  <c r="O34" i="1"/>
  <c r="N34" i="1"/>
  <c r="Q33" i="1"/>
  <c r="P33" i="1"/>
  <c r="O33" i="1"/>
  <c r="N33" i="1"/>
  <c r="Q32" i="1"/>
  <c r="P32" i="1"/>
  <c r="O32" i="1"/>
  <c r="N32" i="1"/>
  <c r="Q31" i="1"/>
  <c r="P31" i="1"/>
  <c r="O31" i="1"/>
  <c r="N31" i="1"/>
  <c r="Q30" i="1"/>
  <c r="P30" i="1"/>
  <c r="O30" i="1"/>
  <c r="N30" i="1"/>
  <c r="N6" i="1"/>
  <c r="O6" i="1"/>
  <c r="P6" i="1"/>
  <c r="Q6" i="1"/>
  <c r="N7" i="1"/>
  <c r="O7" i="1"/>
  <c r="P7" i="1"/>
  <c r="Q7" i="1"/>
  <c r="N8" i="1"/>
  <c r="O8" i="1"/>
  <c r="P8" i="1"/>
  <c r="Q8" i="1"/>
  <c r="N9" i="1"/>
  <c r="O9" i="1"/>
  <c r="P9" i="1"/>
  <c r="Q9" i="1"/>
  <c r="N10" i="1"/>
  <c r="O10" i="1"/>
  <c r="P10" i="1"/>
  <c r="Q10" i="1"/>
  <c r="N11" i="1"/>
  <c r="O11" i="1"/>
  <c r="P11" i="1"/>
  <c r="Q11" i="1"/>
  <c r="N12" i="1"/>
  <c r="O12" i="1"/>
  <c r="P12" i="1"/>
  <c r="Q12" i="1"/>
  <c r="N13" i="1"/>
  <c r="O13" i="1"/>
  <c r="P13" i="1"/>
  <c r="Q13" i="1"/>
  <c r="N14" i="1"/>
  <c r="O14" i="1"/>
  <c r="P14" i="1"/>
  <c r="Q14" i="1"/>
  <c r="N15" i="1"/>
  <c r="O15" i="1"/>
  <c r="P15" i="1"/>
  <c r="Q15" i="1"/>
  <c r="N16" i="1"/>
  <c r="O16" i="1"/>
  <c r="P16" i="1"/>
  <c r="Q16" i="1"/>
  <c r="N17" i="1"/>
  <c r="O17" i="1"/>
  <c r="P17" i="1"/>
  <c r="Q17" i="1"/>
  <c r="N18" i="1"/>
  <c r="O18" i="1"/>
  <c r="P18" i="1"/>
  <c r="Q18" i="1"/>
  <c r="N19" i="1"/>
  <c r="O19" i="1"/>
  <c r="P19" i="1"/>
  <c r="Q19" i="1"/>
  <c r="N20" i="1"/>
  <c r="O20" i="1"/>
  <c r="P20" i="1"/>
  <c r="Q20" i="1"/>
  <c r="N21" i="1"/>
  <c r="O21" i="1"/>
  <c r="P21" i="1"/>
  <c r="Q21" i="1"/>
  <c r="O5" i="1"/>
  <c r="P5" i="1"/>
  <c r="Q5" i="1"/>
  <c r="N5" i="1"/>
  <c r="T55" i="1"/>
  <c r="U55" i="1"/>
  <c r="V55" i="1"/>
  <c r="W55" i="1"/>
  <c r="W54" i="1"/>
  <c r="V54" i="1"/>
  <c r="U54" i="1"/>
  <c r="T54" i="1"/>
  <c r="W53" i="1"/>
  <c r="V53" i="1"/>
  <c r="U53" i="1"/>
  <c r="T53" i="1"/>
  <c r="W52" i="1"/>
  <c r="V52" i="1"/>
  <c r="U52" i="1"/>
  <c r="T52" i="1"/>
  <c r="W51" i="1"/>
  <c r="V51" i="1"/>
  <c r="U51" i="1"/>
  <c r="T51" i="1"/>
  <c r="W50" i="1"/>
  <c r="V50" i="1"/>
  <c r="U50" i="1"/>
  <c r="T50" i="1"/>
  <c r="W49" i="1"/>
  <c r="V49" i="1"/>
  <c r="U49" i="1"/>
  <c r="T49" i="1"/>
  <c r="W48" i="1"/>
  <c r="V48" i="1"/>
  <c r="U48" i="1"/>
  <c r="T48" i="1"/>
  <c r="W47" i="1"/>
  <c r="V47" i="1"/>
  <c r="U47" i="1"/>
  <c r="T47" i="1"/>
  <c r="W46" i="1"/>
  <c r="V46" i="1"/>
  <c r="U46" i="1"/>
  <c r="T46" i="1"/>
  <c r="W45" i="1"/>
  <c r="V45" i="1"/>
  <c r="U45" i="1"/>
  <c r="T45" i="1"/>
  <c r="W44" i="1"/>
  <c r="V44" i="1"/>
  <c r="U44" i="1"/>
  <c r="T44" i="1"/>
  <c r="W43" i="1"/>
  <c r="V43" i="1"/>
  <c r="U43" i="1"/>
  <c r="T43" i="1"/>
  <c r="W42" i="1"/>
  <c r="V42" i="1"/>
  <c r="U42" i="1"/>
  <c r="T42" i="1"/>
  <c r="W41" i="1"/>
  <c r="V41" i="1"/>
  <c r="U41" i="1"/>
  <c r="T41" i="1"/>
  <c r="W40" i="1"/>
  <c r="V40" i="1"/>
  <c r="U40" i="1"/>
  <c r="T40" i="1"/>
  <c r="W39" i="1"/>
  <c r="V39" i="1"/>
  <c r="U39" i="1"/>
  <c r="T39" i="1"/>
  <c r="W38" i="1"/>
  <c r="V38" i="1"/>
  <c r="U38" i="1"/>
  <c r="T38" i="1"/>
  <c r="W37" i="1"/>
  <c r="V37" i="1"/>
  <c r="U37" i="1"/>
  <c r="T37" i="1"/>
  <c r="W36" i="1"/>
  <c r="V36" i="1"/>
  <c r="U36" i="1"/>
  <c r="T36" i="1"/>
  <c r="W35" i="1"/>
  <c r="V35" i="1"/>
  <c r="U35" i="1"/>
  <c r="T35" i="1"/>
  <c r="W34" i="1"/>
  <c r="V34" i="1"/>
  <c r="U34" i="1"/>
  <c r="T34" i="1"/>
  <c r="W33" i="1"/>
  <c r="V33" i="1"/>
  <c r="U33" i="1"/>
  <c r="T33" i="1"/>
  <c r="W32" i="1"/>
  <c r="V32" i="1"/>
  <c r="U32" i="1"/>
  <c r="T32" i="1"/>
  <c r="W31" i="1"/>
  <c r="V31" i="1"/>
  <c r="U31" i="1"/>
  <c r="T31" i="1"/>
  <c r="W30" i="1"/>
  <c r="V30" i="1"/>
  <c r="U30" i="1"/>
  <c r="T30" i="1"/>
  <c r="W29" i="1"/>
  <c r="V29" i="1"/>
  <c r="U29" i="1"/>
  <c r="T29" i="1"/>
  <c r="W28" i="1"/>
  <c r="V28" i="1"/>
  <c r="U28" i="1"/>
  <c r="T28" i="1"/>
  <c r="W27" i="1"/>
  <c r="V27" i="1"/>
  <c r="U27" i="1"/>
  <c r="T27" i="1"/>
  <c r="W26" i="1"/>
  <c r="V26" i="1"/>
  <c r="U26" i="1"/>
  <c r="T26" i="1"/>
  <c r="W25" i="1"/>
  <c r="V25" i="1"/>
  <c r="U25" i="1"/>
  <c r="T25" i="1"/>
  <c r="W24" i="1"/>
  <c r="V24" i="1"/>
  <c r="U24" i="1"/>
  <c r="T24" i="1"/>
  <c r="W23" i="1"/>
  <c r="V23" i="1"/>
  <c r="U23" i="1"/>
  <c r="T23" i="1"/>
  <c r="W22" i="1"/>
  <c r="V22" i="1"/>
  <c r="U22" i="1"/>
  <c r="T22" i="1"/>
  <c r="W21" i="1"/>
  <c r="V21" i="1"/>
  <c r="U21" i="1"/>
  <c r="T21" i="1"/>
  <c r="W20" i="1"/>
  <c r="V20" i="1"/>
  <c r="U20" i="1"/>
  <c r="T20" i="1"/>
  <c r="W19" i="1"/>
  <c r="V19" i="1"/>
  <c r="U19" i="1"/>
  <c r="T19" i="1"/>
  <c r="W18" i="1"/>
  <c r="V18" i="1"/>
  <c r="U18" i="1"/>
  <c r="T18" i="1"/>
  <c r="W17" i="1"/>
  <c r="V17" i="1"/>
  <c r="U17" i="1"/>
  <c r="T17" i="1"/>
  <c r="W16" i="1"/>
  <c r="V16" i="1"/>
  <c r="U16" i="1"/>
  <c r="T16" i="1"/>
  <c r="W15" i="1"/>
  <c r="V15" i="1"/>
  <c r="U15" i="1"/>
  <c r="T15" i="1"/>
  <c r="W14" i="1"/>
  <c r="V14" i="1"/>
  <c r="U14" i="1"/>
  <c r="T14" i="1"/>
  <c r="W13" i="1"/>
  <c r="V13" i="1"/>
  <c r="U13" i="1"/>
  <c r="T13" i="1"/>
  <c r="W12" i="1"/>
  <c r="V12" i="1"/>
  <c r="U12" i="1"/>
  <c r="T12" i="1"/>
  <c r="W11" i="1"/>
  <c r="V11" i="1"/>
  <c r="U11" i="1"/>
  <c r="T11" i="1"/>
  <c r="W10" i="1"/>
  <c r="V10" i="1"/>
  <c r="U10" i="1"/>
  <c r="T10" i="1"/>
  <c r="W9" i="1"/>
  <c r="V9" i="1"/>
  <c r="U9" i="1"/>
  <c r="T9" i="1"/>
  <c r="W8" i="1"/>
  <c r="V8" i="1"/>
  <c r="U8" i="1"/>
  <c r="T8" i="1"/>
  <c r="W7" i="1"/>
  <c r="V7" i="1"/>
  <c r="U7" i="1"/>
  <c r="T7" i="1"/>
  <c r="W6" i="1"/>
  <c r="V6" i="1"/>
  <c r="U6" i="1"/>
  <c r="T6" i="1"/>
  <c r="W5" i="1"/>
  <c r="V5" i="1"/>
  <c r="U5" i="1"/>
  <c r="T5" i="1"/>
  <c r="K54" i="1"/>
  <c r="J54" i="1"/>
  <c r="I54" i="1"/>
  <c r="H54" i="1"/>
  <c r="K53" i="1"/>
  <c r="J53" i="1"/>
  <c r="I53" i="1"/>
  <c r="H53" i="1"/>
  <c r="K52" i="1"/>
  <c r="J52" i="1"/>
  <c r="I52" i="1"/>
  <c r="H52" i="1"/>
  <c r="K51" i="1"/>
  <c r="J51" i="1"/>
  <c r="I51" i="1"/>
  <c r="H51" i="1"/>
  <c r="K50" i="1"/>
  <c r="J50" i="1"/>
  <c r="I50" i="1"/>
  <c r="H50" i="1"/>
  <c r="K49" i="1"/>
  <c r="J49" i="1"/>
  <c r="I49" i="1"/>
  <c r="H49" i="1"/>
  <c r="K48" i="1"/>
  <c r="J48" i="1"/>
  <c r="I48" i="1"/>
  <c r="H48" i="1"/>
  <c r="K47" i="1"/>
  <c r="J47" i="1"/>
  <c r="I47" i="1"/>
  <c r="H47" i="1"/>
  <c r="K46" i="1"/>
  <c r="J46" i="1"/>
  <c r="I46" i="1"/>
  <c r="H46" i="1"/>
  <c r="K45" i="1"/>
  <c r="J45" i="1"/>
  <c r="I45" i="1"/>
  <c r="H45" i="1"/>
  <c r="K44" i="1"/>
  <c r="J44" i="1"/>
  <c r="I44" i="1"/>
  <c r="H44" i="1"/>
  <c r="K43" i="1"/>
  <c r="J43" i="1"/>
  <c r="I43" i="1"/>
  <c r="H43" i="1"/>
  <c r="K42" i="1"/>
  <c r="J42" i="1"/>
  <c r="I42" i="1"/>
  <c r="H42" i="1"/>
  <c r="K41" i="1"/>
  <c r="J41" i="1"/>
  <c r="I41" i="1"/>
  <c r="H41" i="1"/>
  <c r="K40" i="1"/>
  <c r="J40" i="1"/>
  <c r="I40" i="1"/>
  <c r="H40" i="1"/>
  <c r="K39" i="1"/>
  <c r="J39" i="1"/>
  <c r="I39" i="1"/>
  <c r="H39" i="1"/>
  <c r="K38" i="1"/>
  <c r="J38" i="1"/>
  <c r="I38" i="1"/>
  <c r="H38" i="1"/>
  <c r="K37" i="1"/>
  <c r="J37" i="1"/>
  <c r="I37" i="1"/>
  <c r="H37" i="1"/>
  <c r="K36" i="1"/>
  <c r="J36" i="1"/>
  <c r="I36" i="1"/>
  <c r="H36" i="1"/>
  <c r="K35" i="1"/>
  <c r="J35" i="1"/>
  <c r="I35" i="1"/>
  <c r="H35" i="1"/>
  <c r="K34" i="1"/>
  <c r="J34" i="1"/>
  <c r="I34" i="1"/>
  <c r="H34" i="1"/>
  <c r="K33" i="1"/>
  <c r="J33" i="1"/>
  <c r="I33" i="1"/>
  <c r="H33" i="1"/>
  <c r="K32" i="1"/>
  <c r="J32" i="1"/>
  <c r="I32" i="1"/>
  <c r="H32" i="1"/>
  <c r="K31" i="1"/>
  <c r="J31" i="1"/>
  <c r="I31" i="1"/>
  <c r="H31" i="1"/>
  <c r="K30" i="1"/>
  <c r="J30" i="1"/>
  <c r="I30" i="1"/>
  <c r="H30" i="1"/>
  <c r="K29" i="1"/>
  <c r="J29" i="1"/>
  <c r="I29" i="1"/>
  <c r="H29" i="1"/>
  <c r="K28" i="1"/>
  <c r="J28" i="1"/>
  <c r="I28" i="1"/>
  <c r="H28" i="1"/>
  <c r="K27" i="1"/>
  <c r="J27" i="1"/>
  <c r="I27" i="1"/>
  <c r="H27" i="1"/>
  <c r="K26" i="1"/>
  <c r="J26" i="1"/>
  <c r="I26" i="1"/>
  <c r="H26" i="1"/>
  <c r="K25" i="1"/>
  <c r="J25" i="1"/>
  <c r="I25" i="1"/>
  <c r="H25" i="1"/>
  <c r="K24" i="1"/>
  <c r="J24" i="1"/>
  <c r="I24" i="1"/>
  <c r="H24" i="1"/>
  <c r="K23" i="1"/>
  <c r="J23" i="1"/>
  <c r="I23" i="1"/>
  <c r="H23" i="1"/>
  <c r="K22" i="1"/>
  <c r="J22" i="1"/>
  <c r="I22" i="1"/>
  <c r="H22" i="1"/>
  <c r="K21" i="1"/>
  <c r="J21" i="1"/>
  <c r="I21" i="1"/>
  <c r="H21" i="1"/>
  <c r="K20" i="1"/>
  <c r="J20" i="1"/>
  <c r="I20" i="1"/>
  <c r="H20" i="1"/>
  <c r="K19" i="1"/>
  <c r="J19" i="1"/>
  <c r="I19" i="1"/>
  <c r="H19" i="1"/>
  <c r="K18" i="1"/>
  <c r="J18" i="1"/>
  <c r="I18" i="1"/>
  <c r="H18" i="1"/>
  <c r="K17" i="1"/>
  <c r="J17" i="1"/>
  <c r="I17" i="1"/>
  <c r="H17" i="1"/>
  <c r="K16" i="1"/>
  <c r="J16" i="1"/>
  <c r="I16" i="1"/>
  <c r="H16" i="1"/>
  <c r="K15" i="1"/>
  <c r="J15" i="1"/>
  <c r="I15" i="1"/>
  <c r="H15" i="1"/>
  <c r="K14" i="1"/>
  <c r="J14" i="1"/>
  <c r="I14" i="1"/>
  <c r="H14" i="1"/>
  <c r="K13" i="1"/>
  <c r="J13" i="1"/>
  <c r="I13" i="1"/>
  <c r="H13" i="1"/>
  <c r="K12" i="1"/>
  <c r="J12" i="1"/>
  <c r="I12" i="1"/>
  <c r="H12" i="1"/>
  <c r="K11" i="1"/>
  <c r="J11" i="1"/>
  <c r="I11" i="1"/>
  <c r="H11" i="1"/>
  <c r="K10" i="1"/>
  <c r="J10" i="1"/>
  <c r="I10" i="1"/>
  <c r="H10" i="1"/>
  <c r="K9" i="1"/>
  <c r="J9" i="1"/>
  <c r="I9" i="1"/>
  <c r="H9" i="1"/>
  <c r="K8" i="1"/>
  <c r="J8" i="1"/>
  <c r="I8" i="1"/>
  <c r="H8" i="1"/>
  <c r="K7" i="1"/>
  <c r="J7" i="1"/>
  <c r="I7" i="1"/>
  <c r="H7" i="1"/>
  <c r="K6" i="1"/>
  <c r="J6" i="1"/>
  <c r="I6" i="1"/>
  <c r="H6" i="1"/>
  <c r="K5" i="1"/>
  <c r="J5" i="1"/>
  <c r="I5" i="1"/>
  <c r="H5" i="1"/>
  <c r="C6" i="1"/>
  <c r="D6" i="1"/>
  <c r="E6" i="1"/>
  <c r="B7" i="1"/>
  <c r="C7" i="1"/>
  <c r="D7" i="1"/>
  <c r="E7" i="1"/>
  <c r="B8" i="1"/>
  <c r="C8" i="1"/>
  <c r="D8" i="1"/>
  <c r="E8" i="1"/>
  <c r="B9" i="1"/>
  <c r="C9" i="1"/>
  <c r="D9" i="1"/>
  <c r="E9" i="1"/>
  <c r="B10" i="1"/>
  <c r="C10" i="1"/>
  <c r="D10" i="1"/>
  <c r="E10" i="1"/>
  <c r="B11" i="1"/>
  <c r="C11" i="1"/>
  <c r="D11" i="1"/>
  <c r="E11" i="1"/>
  <c r="B12" i="1"/>
  <c r="C12" i="1"/>
  <c r="D12" i="1"/>
  <c r="E12" i="1"/>
  <c r="B13" i="1"/>
  <c r="C13" i="1"/>
  <c r="D13" i="1"/>
  <c r="E13" i="1"/>
  <c r="B14" i="1"/>
  <c r="C14" i="1"/>
  <c r="D14" i="1"/>
  <c r="E14" i="1"/>
  <c r="B15" i="1"/>
  <c r="C15" i="1"/>
  <c r="D15" i="1"/>
  <c r="E15" i="1"/>
  <c r="B16" i="1"/>
  <c r="C16" i="1"/>
  <c r="D16" i="1"/>
  <c r="E16" i="1"/>
  <c r="B17" i="1"/>
  <c r="C17" i="1"/>
  <c r="D17" i="1"/>
  <c r="E17" i="1"/>
  <c r="B18" i="1"/>
  <c r="C18" i="1"/>
  <c r="D18" i="1"/>
  <c r="E18" i="1"/>
  <c r="B19" i="1"/>
  <c r="C19" i="1"/>
  <c r="D19" i="1"/>
  <c r="E19" i="1"/>
  <c r="B20" i="1"/>
  <c r="C20" i="1"/>
  <c r="D20" i="1"/>
  <c r="E20" i="1"/>
  <c r="B21" i="1"/>
  <c r="C21" i="1"/>
  <c r="D21" i="1"/>
  <c r="E21" i="1"/>
  <c r="B22" i="1"/>
  <c r="C22" i="1"/>
  <c r="D22" i="1"/>
  <c r="E22" i="1"/>
  <c r="B23" i="1"/>
  <c r="C23" i="1"/>
  <c r="D23" i="1"/>
  <c r="E23" i="1"/>
  <c r="B24" i="1"/>
  <c r="C24" i="1"/>
  <c r="D24" i="1"/>
  <c r="E24" i="1"/>
  <c r="B25" i="1"/>
  <c r="C25" i="1"/>
  <c r="D25" i="1"/>
  <c r="E25" i="1"/>
  <c r="B26" i="1"/>
  <c r="C26" i="1"/>
  <c r="D26" i="1"/>
  <c r="E26" i="1"/>
  <c r="B27" i="1"/>
  <c r="C27" i="1"/>
  <c r="D27" i="1"/>
  <c r="E27" i="1"/>
  <c r="B28" i="1"/>
  <c r="C28" i="1"/>
  <c r="D28" i="1"/>
  <c r="E28" i="1"/>
  <c r="B29" i="1"/>
  <c r="C29" i="1"/>
  <c r="D29" i="1"/>
  <c r="E29" i="1"/>
  <c r="B30" i="1"/>
  <c r="C30" i="1"/>
  <c r="D30" i="1"/>
  <c r="E30" i="1"/>
  <c r="B31" i="1"/>
  <c r="C31" i="1"/>
  <c r="D31" i="1"/>
  <c r="E31" i="1"/>
  <c r="B32" i="1"/>
  <c r="C32" i="1"/>
  <c r="D32" i="1"/>
  <c r="E32" i="1"/>
  <c r="B33" i="1"/>
  <c r="C33" i="1"/>
  <c r="D33" i="1"/>
  <c r="E33" i="1"/>
  <c r="B34" i="1"/>
  <c r="C34" i="1"/>
  <c r="D34" i="1"/>
  <c r="E34" i="1"/>
  <c r="B35" i="1"/>
  <c r="C35" i="1"/>
  <c r="D35" i="1"/>
  <c r="E35" i="1"/>
  <c r="B36" i="1"/>
  <c r="C36" i="1"/>
  <c r="D36" i="1"/>
  <c r="E36" i="1"/>
  <c r="B37" i="1"/>
  <c r="C37" i="1"/>
  <c r="D37" i="1"/>
  <c r="E37" i="1"/>
  <c r="B38" i="1"/>
  <c r="C38" i="1"/>
  <c r="D38" i="1"/>
  <c r="E38" i="1"/>
  <c r="B39" i="1"/>
  <c r="C39" i="1"/>
  <c r="D39" i="1"/>
  <c r="E39" i="1"/>
  <c r="B40" i="1"/>
  <c r="C40" i="1"/>
  <c r="D40" i="1"/>
  <c r="E40" i="1"/>
  <c r="B41" i="1"/>
  <c r="C41" i="1"/>
  <c r="D41" i="1"/>
  <c r="E41" i="1"/>
  <c r="B42" i="1"/>
  <c r="C42" i="1"/>
  <c r="D42" i="1"/>
  <c r="E42" i="1"/>
  <c r="B43" i="1"/>
  <c r="C43" i="1"/>
  <c r="D43" i="1"/>
  <c r="E43" i="1"/>
  <c r="B44" i="1"/>
  <c r="C44" i="1"/>
  <c r="D44" i="1"/>
  <c r="E44" i="1"/>
  <c r="B45" i="1"/>
  <c r="C45" i="1"/>
  <c r="D45" i="1"/>
  <c r="E45" i="1"/>
  <c r="B46" i="1"/>
  <c r="C46" i="1"/>
  <c r="D46" i="1"/>
  <c r="E46" i="1"/>
  <c r="B47" i="1"/>
  <c r="C47" i="1"/>
  <c r="D47" i="1"/>
  <c r="E47" i="1"/>
  <c r="B48" i="1"/>
  <c r="C48" i="1"/>
  <c r="D48" i="1"/>
  <c r="E48" i="1"/>
  <c r="B49" i="1"/>
  <c r="C49" i="1"/>
  <c r="D49" i="1"/>
  <c r="E49" i="1"/>
  <c r="B50" i="1"/>
  <c r="C50" i="1"/>
  <c r="D50" i="1"/>
  <c r="E50" i="1"/>
  <c r="B51" i="1"/>
  <c r="C51" i="1"/>
  <c r="D51" i="1"/>
  <c r="E51" i="1"/>
  <c r="B52" i="1"/>
  <c r="C52" i="1"/>
  <c r="D52" i="1"/>
  <c r="E52" i="1"/>
  <c r="B53" i="1"/>
  <c r="C53" i="1"/>
  <c r="D53" i="1"/>
  <c r="E53" i="1"/>
  <c r="B54" i="1"/>
  <c r="C54" i="1"/>
  <c r="D54" i="1"/>
  <c r="E54" i="1"/>
  <c r="C5" i="1"/>
  <c r="D5" i="1"/>
  <c r="E5" i="1"/>
  <c r="B5" i="1"/>
  <c r="P218" i="1"/>
  <c r="P103" i="1" s="1"/>
  <c r="P219" i="1" s="1"/>
  <c r="J218" i="1"/>
  <c r="J103" i="1" s="1"/>
  <c r="D218" i="1"/>
  <c r="D103" i="1" s="1"/>
  <c r="D104" i="1" s="1"/>
  <c r="F47" i="20"/>
  <c r="F49" i="20"/>
  <c r="F48" i="20"/>
  <c r="E6" i="20"/>
  <c r="BH12" i="26"/>
  <c r="BH19" i="26"/>
  <c r="I19" i="26"/>
  <c r="L9" i="5"/>
  <c r="L6" i="5"/>
  <c r="F15" i="21"/>
  <c r="BK9" i="23"/>
  <c r="BK10" i="23"/>
  <c r="BK6" i="23"/>
  <c r="BK19" i="23"/>
  <c r="BK24" i="23"/>
  <c r="BK23" i="23"/>
  <c r="BK22" i="23"/>
  <c r="BK15" i="23"/>
  <c r="BK14" i="23"/>
  <c r="BK13" i="23"/>
  <c r="B93" i="20"/>
  <c r="E21" i="20"/>
  <c r="E23" i="20"/>
  <c r="E10" i="20"/>
  <c r="E56" i="20"/>
  <c r="J13" i="20"/>
  <c r="I16" i="20" s="1"/>
  <c r="P63" i="20"/>
  <c r="A61" i="20"/>
  <c r="M61" i="20"/>
  <c r="M55" i="20" s="1"/>
  <c r="K61" i="20"/>
  <c r="J61" i="20" s="1"/>
  <c r="N62" i="20"/>
  <c r="O62" i="20" s="1"/>
  <c r="P62" i="20" s="1"/>
  <c r="N63" i="20"/>
  <c r="O63" i="20" s="1"/>
  <c r="N64" i="20"/>
  <c r="O64" i="20" s="1"/>
  <c r="P64" i="20" s="1"/>
  <c r="N61" i="20"/>
  <c r="O61" i="20" s="1"/>
  <c r="P61" i="20" s="1"/>
  <c r="BK18" i="23"/>
  <c r="BK64" i="22"/>
  <c r="BK65" i="22"/>
  <c r="BK51" i="22"/>
  <c r="E57" i="20"/>
  <c r="K18" i="20"/>
  <c r="J18" i="20"/>
  <c r="H18" i="20"/>
  <c r="E27" i="20" s="1"/>
  <c r="H13" i="20"/>
  <c r="C14" i="20" s="1"/>
  <c r="K67" i="20"/>
  <c r="J67" i="20"/>
  <c r="F67" i="20" s="1"/>
  <c r="K68" i="20"/>
  <c r="J69" i="20"/>
  <c r="F69" i="20" s="1"/>
  <c r="K69" i="20"/>
  <c r="M62" i="20"/>
  <c r="M63" i="20"/>
  <c r="K63" i="20"/>
  <c r="K62" i="20"/>
  <c r="J62" i="20"/>
  <c r="J63" i="20"/>
  <c r="E9" i="20"/>
  <c r="E19" i="20"/>
  <c r="E11" i="20"/>
  <c r="E7" i="20"/>
  <c r="K13" i="20"/>
  <c r="C14" i="5"/>
  <c r="F6" i="5" s="1"/>
  <c r="C30" i="5"/>
  <c r="F11" i="5"/>
  <c r="F16" i="5"/>
  <c r="F17" i="5"/>
  <c r="F23" i="5"/>
  <c r="F25" i="5"/>
  <c r="F18" i="5"/>
  <c r="F19" i="5"/>
  <c r="F24" i="5"/>
  <c r="F32" i="5"/>
  <c r="F7" i="5"/>
  <c r="F20" i="5"/>
  <c r="F21" i="5"/>
  <c r="F22" i="5"/>
  <c r="F26" i="5"/>
  <c r="BB69" i="17"/>
  <c r="AE49" i="17"/>
  <c r="Y49" i="17"/>
  <c r="AD67" i="17"/>
  <c r="BB71" i="17"/>
  <c r="BB67" i="17"/>
  <c r="AP71" i="17"/>
  <c r="AP69" i="17"/>
  <c r="AP67" i="17"/>
  <c r="AD71" i="17"/>
  <c r="AD69" i="17"/>
  <c r="C46" i="5"/>
  <c r="C45" i="5"/>
  <c r="BB55" i="17"/>
  <c r="AP55" i="17"/>
  <c r="AD55" i="17"/>
  <c r="AY28" i="17"/>
  <c r="Y35" i="17"/>
  <c r="O35" i="17"/>
  <c r="B47" i="17"/>
  <c r="B45" i="17"/>
  <c r="B43" i="17"/>
  <c r="B41" i="17"/>
  <c r="B39" i="17"/>
  <c r="B37" i="17"/>
  <c r="AY26" i="17"/>
  <c r="AG26" i="17"/>
  <c r="AA26" i="17"/>
  <c r="U26" i="17"/>
  <c r="O26" i="17"/>
  <c r="D6" i="5"/>
  <c r="D16" i="5"/>
  <c r="C59" i="5"/>
  <c r="C60" i="5" s="1"/>
  <c r="C61" i="5" s="1"/>
  <c r="C62" i="5" s="1"/>
  <c r="C63" i="5" s="1"/>
  <c r="C64" i="5" s="1"/>
  <c r="C65" i="5" s="1"/>
  <c r="C66" i="5" s="1"/>
  <c r="C67" i="5" s="1"/>
  <c r="C68" i="5" s="1"/>
  <c r="C69" i="5" s="1"/>
  <c r="C70" i="5" s="1"/>
  <c r="C71" i="5" s="1"/>
  <c r="C72" i="5" s="1"/>
  <c r="C73" i="5" s="1"/>
  <c r="C74" i="5" s="1"/>
  <c r="B59" i="5"/>
  <c r="B60" i="5" s="1"/>
  <c r="B61" i="5" s="1"/>
  <c r="B62" i="5" s="1"/>
  <c r="B63" i="5" s="1"/>
  <c r="B64" i="5" s="1"/>
  <c r="B65" i="5" s="1"/>
  <c r="B66" i="5" s="1"/>
  <c r="B67" i="5" s="1"/>
  <c r="B68" i="5" s="1"/>
  <c r="B69" i="5" s="1"/>
  <c r="B70" i="5" s="1"/>
  <c r="B71" i="5" s="1"/>
  <c r="B72" i="5" s="1"/>
  <c r="B73" i="5" s="1"/>
  <c r="B74" i="5" s="1"/>
  <c r="B75" i="5" s="1"/>
  <c r="B76" i="5" s="1"/>
  <c r="B77" i="5" s="1"/>
  <c r="B78" i="5" s="1"/>
  <c r="B79" i="5" s="1"/>
  <c r="B80" i="5" s="1"/>
  <c r="B81" i="5" s="1"/>
  <c r="B82" i="5" s="1"/>
  <c r="B83" i="5" s="1"/>
  <c r="B84" i="5" s="1"/>
  <c r="B85" i="5" s="1"/>
  <c r="B86" i="5" s="1"/>
  <c r="B87" i="5" s="1"/>
  <c r="B88" i="5" s="1"/>
  <c r="B89" i="5" s="1"/>
  <c r="B90" i="5" s="1"/>
  <c r="B91" i="5" s="1"/>
  <c r="B92" i="5" s="1"/>
  <c r="B93" i="5" s="1"/>
  <c r="B94" i="5" s="1"/>
  <c r="B95" i="5" s="1"/>
  <c r="B96" i="5" s="1"/>
  <c r="B97" i="5" s="1"/>
  <c r="B98" i="5" s="1"/>
  <c r="B99" i="5" s="1"/>
  <c r="B100" i="5" s="1"/>
  <c r="B101" i="5" s="1"/>
  <c r="B102" i="5" s="1"/>
  <c r="B103" i="5" s="1"/>
  <c r="B104" i="5" s="1"/>
  <c r="B105" i="5" s="1"/>
  <c r="B106" i="5" s="1"/>
  <c r="B107" i="5" s="1"/>
  <c r="C26" i="5"/>
  <c r="C37" i="5"/>
  <c r="C39" i="5"/>
  <c r="B32" i="15"/>
  <c r="B24" i="15"/>
  <c r="B33" i="15"/>
  <c r="J2" i="26" l="1"/>
  <c r="J3" i="26"/>
  <c r="AO2" i="22"/>
  <c r="I15" i="20"/>
  <c r="I20" i="20"/>
  <c r="I19" i="20" s="1"/>
  <c r="E31" i="20" s="1"/>
  <c r="J219" i="1"/>
  <c r="J104" i="1"/>
  <c r="D219" i="1"/>
  <c r="P104" i="1"/>
  <c r="G63" i="20"/>
  <c r="G62" i="20"/>
  <c r="F30" i="5"/>
  <c r="G60" i="20"/>
  <c r="G61" i="20"/>
  <c r="D14" i="5"/>
  <c r="F14" i="5"/>
  <c r="BK17" i="23"/>
  <c r="BK12" i="23"/>
  <c r="M53" i="20"/>
  <c r="L4" i="5"/>
  <c r="AL2" i="23" l="1"/>
  <c r="E13" i="20"/>
  <c r="H3" i="5"/>
  <c r="D23" i="5" s="1"/>
  <c r="D19" i="5" l="1"/>
  <c r="D20" i="5"/>
  <c r="D22" i="5"/>
  <c r="E25" i="5"/>
  <c r="D25" i="5" s="1"/>
  <c r="D37" i="5"/>
  <c r="D24" i="5"/>
  <c r="D21" i="5"/>
  <c r="D18" i="5"/>
  <c r="D17" i="5"/>
  <c r="D26" i="5" l="1"/>
  <c r="D39" i="5" s="1"/>
  <c r="F39" i="5" s="1"/>
  <c r="F40" i="5" l="1"/>
  <c r="F3" i="5" s="1"/>
  <c r="D45" i="5"/>
  <c r="D46" i="5" s="1"/>
  <c r="E46" i="5" s="1"/>
  <c r="J18" i="28" l="1"/>
  <c r="BB41" i="17"/>
  <c r="BF41" i="17" s="1"/>
  <c r="BB35" i="17"/>
  <c r="AH47" i="17"/>
  <c r="AM47" i="17" s="1"/>
  <c r="E34" i="15"/>
  <c r="BB37" i="17"/>
  <c r="BF37" i="17" s="1"/>
  <c r="E22" i="15"/>
  <c r="AO81" i="17"/>
  <c r="E10" i="15"/>
  <c r="E20" i="15"/>
  <c r="AQ47" i="17"/>
  <c r="AQ37" i="17"/>
  <c r="U83" i="17"/>
  <c r="E27" i="15"/>
  <c r="AH45" i="17"/>
  <c r="AM45" i="17" s="1"/>
  <c r="BB64" i="17"/>
  <c r="BB49" i="17"/>
  <c r="BB47" i="17"/>
  <c r="BF47" i="17" s="1"/>
  <c r="AH39" i="17"/>
  <c r="AM39" i="17" s="1"/>
  <c r="E32" i="15"/>
  <c r="AQ45" i="17"/>
  <c r="E19" i="15"/>
  <c r="AH35" i="17"/>
  <c r="AM35" i="17" s="1"/>
  <c r="C52" i="20"/>
  <c r="AY83" i="17"/>
  <c r="U76" i="17"/>
  <c r="E16" i="15"/>
  <c r="E23" i="15"/>
  <c r="E18" i="15"/>
  <c r="AQ43" i="17"/>
  <c r="F18" i="17"/>
  <c r="E11" i="15"/>
  <c r="L78" i="17"/>
  <c r="AH37" i="17"/>
  <c r="AM37" i="17" s="1"/>
  <c r="BB45" i="17"/>
  <c r="BF45" i="17" s="1"/>
  <c r="E13" i="15"/>
  <c r="E15" i="15"/>
  <c r="AO83" i="17"/>
  <c r="D18" i="17"/>
  <c r="U81" i="17"/>
  <c r="AQ41" i="17"/>
  <c r="E24" i="15"/>
  <c r="BB52" i="17"/>
  <c r="C7" i="5"/>
  <c r="AP18" i="17" s="1"/>
  <c r="AH41" i="17"/>
  <c r="AM41" i="17" s="1"/>
  <c r="B34" i="15"/>
  <c r="AQ35" i="17"/>
  <c r="AD64" i="17"/>
  <c r="E26" i="15"/>
  <c r="E30" i="15"/>
  <c r="E17" i="15"/>
  <c r="AQ39" i="17"/>
  <c r="BB43" i="17"/>
  <c r="BF43" i="17" s="1"/>
  <c r="U78" i="17"/>
  <c r="E9" i="15"/>
  <c r="BB39" i="17"/>
  <c r="BF39" i="17" s="1"/>
  <c r="AH43" i="17"/>
  <c r="AM43" i="17" s="1"/>
  <c r="E33" i="15"/>
  <c r="E29" i="15"/>
  <c r="AP64" i="17"/>
  <c r="E31" i="15"/>
  <c r="H18" i="17"/>
  <c r="E21" i="15"/>
  <c r="C53" i="20"/>
  <c r="F53" i="20" s="1"/>
  <c r="J19" i="28" l="1"/>
  <c r="J20" i="28"/>
  <c r="AN18" i="17"/>
  <c r="E20" i="20"/>
  <c r="E2" i="20" s="1"/>
  <c r="K6" i="28" s="1"/>
  <c r="AR18" i="17"/>
  <c r="AC17" i="17" s="1"/>
  <c r="E53" i="20"/>
  <c r="J21" i="28" l="1"/>
  <c r="AD9" i="21"/>
  <c r="Q46" i="21"/>
  <c r="Z46" i="21"/>
  <c r="AV58" i="21"/>
  <c r="AV52" i="21"/>
  <c r="AV46" i="21"/>
  <c r="AV50" i="21"/>
  <c r="AV54" i="21"/>
  <c r="AV60" i="21"/>
  <c r="AV56" i="21"/>
  <c r="AV63" i="21"/>
  <c r="AV48" i="21"/>
  <c r="AU28" i="22"/>
  <c r="Z11" i="21"/>
  <c r="H41" i="21"/>
  <c r="Q39" i="21"/>
  <c r="AM37" i="22"/>
  <c r="AD19" i="22"/>
  <c r="AL50" i="21"/>
  <c r="AD26" i="21"/>
  <c r="AL24" i="21"/>
  <c r="C33" i="21"/>
  <c r="AC6" i="22"/>
  <c r="H11" i="21"/>
  <c r="Z9" i="21"/>
  <c r="AX12" i="21"/>
  <c r="Z60" i="21"/>
  <c r="AU30" i="22"/>
  <c r="AL15" i="22"/>
  <c r="AD24" i="21"/>
  <c r="AV2" i="21"/>
  <c r="AM11" i="21"/>
  <c r="AL46" i="21"/>
  <c r="F26" i="21"/>
  <c r="AY13" i="21"/>
  <c r="F25" i="21"/>
  <c r="I34" i="21"/>
  <c r="AB15" i="22"/>
  <c r="AL6" i="22"/>
  <c r="O30" i="21"/>
  <c r="BB34" i="21"/>
  <c r="W25" i="21"/>
  <c r="AL52" i="21"/>
  <c r="C35" i="22"/>
  <c r="AI14" i="21"/>
  <c r="AW6" i="22"/>
  <c r="AW11" i="21"/>
  <c r="AB41" i="21"/>
  <c r="AN41" i="21" s="1"/>
  <c r="G15" i="21"/>
  <c r="AX35" i="22"/>
  <c r="C56" i="21"/>
  <c r="W26" i="21"/>
  <c r="AM36" i="22"/>
  <c r="C58" i="21"/>
  <c r="AE39" i="21"/>
  <c r="AT30" i="21"/>
  <c r="AH60" i="21"/>
  <c r="C52" i="21"/>
  <c r="AT14" i="21"/>
  <c r="W28" i="22"/>
  <c r="AD24" i="22"/>
  <c r="AX30" i="21"/>
  <c r="C36" i="22"/>
  <c r="C48" i="21"/>
  <c r="AJ12" i="21"/>
  <c r="AC34" i="21"/>
  <c r="C37" i="22"/>
  <c r="M30" i="21"/>
  <c r="O21" i="22"/>
  <c r="AD21" i="22" s="1"/>
  <c r="F24" i="21"/>
  <c r="Q41" i="21"/>
  <c r="G14" i="21"/>
  <c r="AL58" i="21"/>
  <c r="AL39" i="21"/>
  <c r="Q30" i="21"/>
  <c r="AM35" i="22"/>
  <c r="AL26" i="21"/>
  <c r="X39" i="21"/>
  <c r="AX36" i="22"/>
  <c r="W24" i="21"/>
  <c r="AG33" i="21"/>
  <c r="AF34" i="21" s="1"/>
  <c r="C50" i="21"/>
  <c r="AM15" i="21"/>
  <c r="AJ13" i="21"/>
  <c r="AK34" i="21"/>
  <c r="AD25" i="21"/>
  <c r="AX37" i="22"/>
  <c r="W30" i="22"/>
  <c r="AL56" i="21"/>
  <c r="AL25" i="21"/>
  <c r="C54" i="21"/>
  <c r="X14" i="21"/>
  <c r="T13" i="21"/>
  <c r="AV15" i="22"/>
  <c r="N12" i="21"/>
  <c r="AL54" i="21"/>
  <c r="AL48" i="21"/>
  <c r="AV30" i="21"/>
  <c r="N19" i="21" l="1"/>
  <c r="AW18" i="21"/>
  <c r="H18" i="21"/>
  <c r="Z18" i="21"/>
  <c r="AT20" i="21"/>
  <c r="AX19" i="21"/>
  <c r="G21" i="21"/>
  <c r="X20" i="21"/>
  <c r="G20" i="21"/>
  <c r="AN18" i="21"/>
  <c r="AH19" i="21"/>
  <c r="AI20" i="21"/>
  <c r="AE30"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 satisfied Microsoft Office user</author>
    <author>DELL</author>
    <author>Plevova</author>
  </authors>
  <commentList>
    <comment ref="C5" authorId="0" shapeId="0" xr:uid="{00000000-0006-0000-0200-000001000000}">
      <text>
        <r>
          <rPr>
            <sz val="10"/>
            <color indexed="81"/>
            <rFont val="Tahoma"/>
            <family val="2"/>
            <charset val="238"/>
          </rPr>
          <t>Zadaj začiatok poistenia
v tvare d.m.rrrr</t>
        </r>
      </text>
    </comment>
    <comment ref="C6" authorId="0" shapeId="0" xr:uid="{00000000-0006-0000-0200-000002000000}">
      <text>
        <r>
          <rPr>
            <sz val="10"/>
            <color indexed="81"/>
            <rFont val="Tahoma"/>
            <family val="2"/>
            <charset val="238"/>
          </rPr>
          <t>min. -  5 rokov
max. - do veku 70 rokov poisteného
         - do veku 15 rokov dieťaťa</t>
        </r>
      </text>
    </comment>
    <comment ref="C8" authorId="0" shapeId="0" xr:uid="{00000000-0006-0000-0200-000003000000}">
      <text>
        <r>
          <rPr>
            <sz val="10"/>
            <color indexed="81"/>
            <rFont val="Tahoma"/>
            <family val="2"/>
            <charset val="238"/>
          </rPr>
          <t xml:space="preserve">12  -mesačne
4 - štvrťročne
2 - polročne
1- ročne
</t>
        </r>
        <r>
          <rPr>
            <sz val="8"/>
            <color indexed="81"/>
            <rFont val="Tahoma"/>
            <family val="2"/>
            <charset val="238"/>
          </rPr>
          <t xml:space="preserve">
</t>
        </r>
      </text>
    </comment>
    <comment ref="C14" authorId="0" shapeId="0" xr:uid="{00000000-0006-0000-0200-000004000000}">
      <text>
        <r>
          <rPr>
            <sz val="10"/>
            <color indexed="81"/>
            <rFont val="Tahoma"/>
            <family val="2"/>
            <charset val="238"/>
          </rPr>
          <t>min - 15 rokov
max - 65 rokov</t>
        </r>
      </text>
    </comment>
    <comment ref="C15" authorId="0" shapeId="0" xr:uid="{00000000-0006-0000-0200-000005000000}">
      <text>
        <r>
          <rPr>
            <sz val="10"/>
            <color indexed="81"/>
            <rFont val="Tahoma"/>
            <family val="2"/>
            <charset val="238"/>
          </rPr>
          <t>1 až 4</t>
        </r>
      </text>
    </comment>
    <comment ref="C17" authorId="0" shapeId="0" xr:uid="{00000000-0006-0000-0200-000006000000}">
      <text>
        <r>
          <rPr>
            <sz val="10"/>
            <color indexed="81"/>
            <rFont val="Tahoma"/>
            <family val="2"/>
            <charset val="238"/>
          </rPr>
          <t>min - 3.000 EUR 
max - 101.000 EUR
povinné riziko</t>
        </r>
      </text>
    </comment>
    <comment ref="C18" authorId="0" shapeId="0" xr:uid="{00000000-0006-0000-0200-000007000000}">
      <text>
        <r>
          <rPr>
            <sz val="10"/>
            <color indexed="81"/>
            <rFont val="Tahoma"/>
            <family val="2"/>
            <charset val="238"/>
          </rPr>
          <t>min - 3.000 EUR 
max - 35.000 EUR
povinné riziko</t>
        </r>
      </text>
    </comment>
    <comment ref="C19" authorId="0" shapeId="0" xr:uid="{00000000-0006-0000-0200-000008000000}">
      <text>
        <r>
          <rPr>
            <sz val="10"/>
            <color indexed="81"/>
            <rFont val="Tahoma"/>
            <family val="2"/>
            <charset val="238"/>
          </rPr>
          <t>min - 3.000 EUR 
max - 101.000 EUR</t>
        </r>
      </text>
    </comment>
    <comment ref="C20" authorId="0" shapeId="0" xr:uid="{00000000-0006-0000-0200-000009000000}">
      <text>
        <r>
          <rPr>
            <sz val="10"/>
            <color indexed="81"/>
            <rFont val="Tahoma"/>
            <family val="2"/>
            <charset val="238"/>
          </rPr>
          <t>min - 3 EUR
max - 36 EUR</t>
        </r>
        <r>
          <rPr>
            <sz val="8"/>
            <color indexed="81"/>
            <rFont val="Tahoma"/>
            <family val="2"/>
            <charset val="238"/>
          </rPr>
          <t xml:space="preserve">
</t>
        </r>
      </text>
    </comment>
    <comment ref="C21" authorId="1" shapeId="0" xr:uid="{00000000-0006-0000-0200-00000A000000}">
      <text>
        <r>
          <rPr>
            <sz val="10"/>
            <color indexed="81"/>
            <rFont val="Tahoma"/>
            <family val="2"/>
            <charset val="238"/>
          </rPr>
          <t>min - 500 EUR
max - 3.500 EUR</t>
        </r>
        <r>
          <rPr>
            <sz val="8"/>
            <color indexed="81"/>
            <rFont val="Tahoma"/>
            <family val="2"/>
            <charset val="238"/>
          </rPr>
          <t xml:space="preserve">
</t>
        </r>
      </text>
    </comment>
    <comment ref="C22" authorId="0" shapeId="0" xr:uid="{00000000-0006-0000-0200-00000B000000}">
      <text>
        <r>
          <rPr>
            <sz val="10"/>
            <color indexed="81"/>
            <rFont val="Tahoma"/>
            <family val="2"/>
            <charset val="238"/>
          </rPr>
          <t>min - 3 EUR
max - 25 EUR</t>
        </r>
      </text>
    </comment>
    <comment ref="C23" authorId="0" shapeId="0" xr:uid="{00000000-0006-0000-0200-00000C000000}">
      <text>
        <r>
          <rPr>
            <sz val="10"/>
            <color indexed="81"/>
            <rFont val="Tahoma"/>
            <family val="2"/>
            <charset val="238"/>
          </rPr>
          <t>min - 16.000 EUR
max - 34.000 EUR</t>
        </r>
      </text>
    </comment>
    <comment ref="C24" authorId="0" shapeId="0" xr:uid="{00000000-0006-0000-0200-00000D000000}">
      <text>
        <r>
          <rPr>
            <sz val="10"/>
            <color indexed="81"/>
            <rFont val="Tahoma"/>
            <family val="2"/>
            <charset val="238"/>
          </rPr>
          <t>min - 160 EUR
max - 670 EUR</t>
        </r>
        <r>
          <rPr>
            <sz val="8"/>
            <color indexed="81"/>
            <rFont val="Tahoma"/>
            <family val="2"/>
            <charset val="238"/>
          </rPr>
          <t xml:space="preserve">
</t>
        </r>
      </text>
    </comment>
    <comment ref="C25" authorId="2" shapeId="0" xr:uid="{00000000-0006-0000-0200-00000E000000}">
      <text>
        <r>
          <rPr>
            <sz val="10"/>
            <color indexed="81"/>
            <rFont val="Tahoma"/>
            <family val="2"/>
            <charset val="238"/>
          </rPr>
          <t>a = áno
n = nie</t>
        </r>
        <r>
          <rPr>
            <sz val="8"/>
            <color indexed="81"/>
            <rFont val="Tahoma"/>
            <family val="2"/>
            <charset val="23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Viera Bastovanska</author>
    <author>leskova</author>
  </authors>
  <commentList>
    <comment ref="C13" authorId="0" shapeId="0" xr:uid="{00000000-0006-0000-0400-000001000000}">
      <text>
        <r>
          <rPr>
            <b/>
            <sz val="8"/>
            <color indexed="81"/>
            <rFont val="Tahoma"/>
            <family val="2"/>
            <charset val="238"/>
          </rPr>
          <t>zadaj prvú časť rodného čísla</t>
        </r>
      </text>
    </comment>
    <comment ref="D13" authorId="0" shapeId="0" xr:uid="{00000000-0006-0000-0400-000002000000}">
      <text>
        <r>
          <rPr>
            <b/>
            <sz val="8"/>
            <color indexed="81"/>
            <rFont val="Tahoma"/>
            <family val="2"/>
            <charset val="238"/>
          </rPr>
          <t>zadaj druhú časť rodného čísla</t>
        </r>
      </text>
    </comment>
    <comment ref="C31" authorId="0" shapeId="0" xr:uid="{00000000-0006-0000-0400-000003000000}">
      <text>
        <r>
          <rPr>
            <b/>
            <sz val="8"/>
            <color indexed="81"/>
            <rFont val="Tahoma"/>
            <family val="2"/>
            <charset val="238"/>
          </rPr>
          <t xml:space="preserve">zadaj prvú časť rodného čísla
</t>
        </r>
      </text>
    </comment>
    <comment ref="D31" authorId="0" shapeId="0" xr:uid="{00000000-0006-0000-0400-000004000000}">
      <text>
        <r>
          <rPr>
            <b/>
            <sz val="8"/>
            <color indexed="81"/>
            <rFont val="Tahoma"/>
            <family val="2"/>
            <charset val="238"/>
          </rPr>
          <t>zadaj druhú časť rodného čísla</t>
        </r>
      </text>
    </comment>
    <comment ref="C44" authorId="1" shapeId="0" xr:uid="{00000000-0006-0000-0400-000005000000}">
      <text>
        <r>
          <rPr>
            <b/>
            <sz val="8"/>
            <color indexed="81"/>
            <rFont val="Tahoma"/>
            <family val="2"/>
            <charset val="238"/>
          </rPr>
          <t>uveď skutočne vykonávanú pracovnú činnosť poisteného
(bez čísla)</t>
        </r>
        <r>
          <rPr>
            <sz val="8"/>
            <color indexed="81"/>
            <rFont val="Tahoma"/>
            <family val="2"/>
            <charset val="238"/>
          </rPr>
          <t xml:space="preserve">
</t>
        </r>
      </text>
    </comment>
    <comment ref="C46" authorId="1" shapeId="0" xr:uid="{00000000-0006-0000-0400-000006000000}">
      <text>
        <r>
          <rPr>
            <b/>
            <sz val="8"/>
            <color indexed="81"/>
            <rFont val="Tahoma"/>
            <family val="2"/>
            <charset val="238"/>
          </rPr>
          <t>uveď číslo RS</t>
        </r>
        <r>
          <rPr>
            <sz val="8"/>
            <color indexed="81"/>
            <rFont val="Tahoma"/>
            <family val="2"/>
            <charset val="238"/>
          </rPr>
          <t xml:space="preserve">
</t>
        </r>
      </text>
    </comment>
    <comment ref="C47" authorId="1" shapeId="0" xr:uid="{00000000-0006-0000-0400-000007000000}">
      <text>
        <r>
          <rPr>
            <b/>
            <sz val="8"/>
            <color indexed="81"/>
            <rFont val="Tahoma"/>
            <family val="2"/>
            <charset val="238"/>
          </rPr>
          <t>uveď záujmovú alebo pravidelnú športovú  činnosť poisteného (bez čísla)</t>
        </r>
        <r>
          <rPr>
            <sz val="8"/>
            <color indexed="81"/>
            <rFont val="Tahoma"/>
            <family val="2"/>
            <charset val="238"/>
          </rPr>
          <t xml:space="preserve">
</t>
        </r>
      </text>
    </comment>
    <comment ref="C49" authorId="1" shapeId="0" xr:uid="{00000000-0006-0000-0400-000008000000}">
      <text>
        <r>
          <rPr>
            <b/>
            <sz val="8"/>
            <color indexed="81"/>
            <rFont val="Tahoma"/>
            <family val="2"/>
            <charset val="238"/>
          </rPr>
          <t>uveď číslo RS</t>
        </r>
        <r>
          <rPr>
            <sz val="8"/>
            <color indexed="81"/>
            <rFont val="Tahoma"/>
            <family val="2"/>
            <charset val="238"/>
          </rPr>
          <t xml:space="preserve">
</t>
        </r>
      </text>
    </comment>
    <comment ref="D61" authorId="1" shapeId="0" xr:uid="{00000000-0006-0000-0400-000009000000}">
      <text>
        <r>
          <rPr>
            <b/>
            <sz val="8"/>
            <color indexed="81"/>
            <rFont val="Tahoma"/>
            <family val="2"/>
            <charset val="238"/>
          </rPr>
          <t>zadaj druhú časť rodného čísla</t>
        </r>
        <r>
          <rPr>
            <sz val="8"/>
            <color indexed="81"/>
            <rFont val="Tahoma"/>
            <family val="2"/>
            <charset val="238"/>
          </rPr>
          <t xml:space="preserve">
</t>
        </r>
      </text>
    </comment>
    <comment ref="C67" authorId="1" shapeId="0" xr:uid="{00000000-0006-0000-0400-00000A000000}">
      <text>
        <r>
          <rPr>
            <b/>
            <sz val="8"/>
            <color indexed="81"/>
            <rFont val="Tahoma"/>
            <family val="2"/>
            <charset val="238"/>
          </rPr>
          <t>zadaj prvú časť rodného čísla</t>
        </r>
        <r>
          <rPr>
            <sz val="8"/>
            <color indexed="81"/>
            <rFont val="Tahoma"/>
            <family val="2"/>
            <charset val="238"/>
          </rPr>
          <t xml:space="preserve">
</t>
        </r>
      </text>
    </comment>
    <comment ref="D67" authorId="1" shapeId="0" xr:uid="{00000000-0006-0000-0400-00000B000000}">
      <text>
        <r>
          <rPr>
            <b/>
            <sz val="8"/>
            <color indexed="81"/>
            <rFont val="Tahoma"/>
            <family val="2"/>
            <charset val="238"/>
          </rPr>
          <t>zadaj druhú časť rodného čísla</t>
        </r>
        <r>
          <rPr>
            <sz val="8"/>
            <color indexed="81"/>
            <rFont val="Tahoma"/>
            <family val="2"/>
            <charset val="23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SOU</author>
  </authors>
  <commentList>
    <comment ref="H70" authorId="0" shapeId="0" xr:uid="{00000000-0006-0000-0C00-000001000000}">
      <text>
        <r>
          <rPr>
            <b/>
            <sz val="8"/>
            <color indexed="81"/>
            <rFont val="Tahoma"/>
            <family val="2"/>
            <charset val="238"/>
          </rPr>
          <t>SOU:</t>
        </r>
        <r>
          <rPr>
            <sz val="8"/>
            <color indexed="81"/>
            <rFont val="Tahoma"/>
            <family val="2"/>
            <charset val="238"/>
          </rPr>
          <t xml:space="preserve">
doplniť jedy,ľahko zápalné látky
</t>
        </r>
      </text>
    </comment>
  </commentList>
</comments>
</file>

<file path=xl/sharedStrings.xml><?xml version="1.0" encoding="utf-8"?>
<sst xmlns="http://schemas.openxmlformats.org/spreadsheetml/2006/main" count="1444" uniqueCount="963">
  <si>
    <t>poistná doba</t>
  </si>
  <si>
    <t>platenie poistného</t>
  </si>
  <si>
    <t>krát ročne</t>
  </si>
  <si>
    <t>Poistné sumy</t>
  </si>
  <si>
    <t>ČNL</t>
  </si>
  <si>
    <t>DO</t>
  </si>
  <si>
    <t>Union poisťovňa, a.s.</t>
  </si>
  <si>
    <t>Vstupné parametre:</t>
  </si>
  <si>
    <t>Vstupný vek poisteného:</t>
  </si>
  <si>
    <t>Poistná doba:</t>
  </si>
  <si>
    <t>Veríme, že Vás naša ponuka poistenia zaujala a za prejavenú dôveru vopred ďakujeme.</t>
  </si>
  <si>
    <t>smrť v dôsledku úrazu</t>
  </si>
  <si>
    <t>maximálna ochrana</t>
  </si>
  <si>
    <t>Poistený - dospelý</t>
  </si>
  <si>
    <t>Riziko</t>
  </si>
  <si>
    <t>RS1</t>
  </si>
  <si>
    <t>RS2</t>
  </si>
  <si>
    <t>RS3</t>
  </si>
  <si>
    <t>RS4</t>
  </si>
  <si>
    <t>SNU</t>
  </si>
  <si>
    <t xml:space="preserve">DN </t>
  </si>
  <si>
    <t>MO</t>
  </si>
  <si>
    <t>začiatok poistenia</t>
  </si>
  <si>
    <t>Spolu</t>
  </si>
  <si>
    <t>Ročné</t>
  </si>
  <si>
    <t>riziková skupina</t>
  </si>
  <si>
    <t>Vstupné údaje</t>
  </si>
  <si>
    <t>Riziková skupina:</t>
  </si>
  <si>
    <t>riziko</t>
  </si>
  <si>
    <t>Dojednané poistné krytie pre dospelého:</t>
  </si>
  <si>
    <t>POISTNÉ KRYTIE PRE DETI - BALÍKY</t>
  </si>
  <si>
    <t>Povolené PS</t>
  </si>
  <si>
    <t>SILVER D</t>
  </si>
  <si>
    <t>GOLD D</t>
  </si>
  <si>
    <t>počet poistených detí</t>
  </si>
  <si>
    <t>Počet detí</t>
  </si>
  <si>
    <t>BRONZE D</t>
  </si>
  <si>
    <t>čas nevyhnutného liečenia úrazu</t>
  </si>
  <si>
    <t>denná náhrada pre práceneschopnosť po úraze</t>
  </si>
  <si>
    <t>denné odškodné počas hospitalizácie v dôsledku úrazu</t>
  </si>
  <si>
    <t>Priezvisko</t>
  </si>
  <si>
    <t>Meno</t>
  </si>
  <si>
    <t>Rodné číslo</t>
  </si>
  <si>
    <t>Trvalé bydlisko - ulica, číslo</t>
  </si>
  <si>
    <t>Obec</t>
  </si>
  <si>
    <t>PSČ</t>
  </si>
  <si>
    <t xml:space="preserve">Štátne občianstvo </t>
  </si>
  <si>
    <t>Číslo OP</t>
  </si>
  <si>
    <t>2. POISTENÝ</t>
  </si>
  <si>
    <t>3. POISTENÉ DETI</t>
  </si>
  <si>
    <t>Dieťa</t>
  </si>
  <si>
    <t>Trvalé bydlisko (ulica, číslo, obec, PSČ)*</t>
  </si>
  <si>
    <t>D1</t>
  </si>
  <si>
    <t>D2</t>
  </si>
  <si>
    <t>D3</t>
  </si>
  <si>
    <t>4. ÚDAJE O POISTENÍ</t>
  </si>
  <si>
    <t>Začiatok poistenia</t>
  </si>
  <si>
    <t>Zamestnanie - pracovná činnosť / funkcia poisteného</t>
  </si>
  <si>
    <t>Záujmová činnosť / pravidelná športová činnosť poisteného</t>
  </si>
  <si>
    <t>Zamestnávateľ:</t>
  </si>
  <si>
    <t xml:space="preserve">poistné sumy </t>
  </si>
  <si>
    <t xml:space="preserve">Smrť v dôsledku úrazu </t>
  </si>
  <si>
    <t>Maximálna ochrana</t>
  </si>
  <si>
    <t>Bežné poistné bude platené v</t>
  </si>
  <si>
    <t>ročných</t>
  </si>
  <si>
    <t xml:space="preserve">polročných </t>
  </si>
  <si>
    <t xml:space="preserve">štvrťročných </t>
  </si>
  <si>
    <t>mesačných</t>
  </si>
  <si>
    <t>poistných obdobiach</t>
  </si>
  <si>
    <t>trvalým príkazom z účtu</t>
  </si>
  <si>
    <t>poštovou poukážkou</t>
  </si>
  <si>
    <t>X</t>
  </si>
  <si>
    <t>mesačné spolu</t>
  </si>
  <si>
    <t>Dojednané poistné krytie pre deti:</t>
  </si>
  <si>
    <t>PS (v EUR)</t>
  </si>
  <si>
    <t>poistné (v EUR)</t>
  </si>
  <si>
    <t>TNU</t>
  </si>
  <si>
    <t>DN</t>
  </si>
  <si>
    <t>Lekár</t>
  </si>
  <si>
    <t>1) údaj nie je povinné vyplniť  2) ak je iná ako trvalé bydlisko  3) nehodiace sa prečiarknite</t>
  </si>
  <si>
    <t>EUR</t>
  </si>
  <si>
    <t>SKK</t>
  </si>
  <si>
    <t>PREDPÍSANÉ POISTNÉ SPOLU</t>
  </si>
  <si>
    <t>Pre duálne zobrazenie hodnôt je použitý konverzný kurz 1 EUR = 30,1260 SKK. Hodnoty v slovenských korunách sú uvedené v zmysle zákona č. 659/2007 Z.z. a majú len informatívny charakter.</t>
  </si>
  <si>
    <t>A</t>
  </si>
  <si>
    <t>RS</t>
  </si>
  <si>
    <t>D</t>
  </si>
  <si>
    <t>CH</t>
  </si>
  <si>
    <t>Admin. pracovník (úradník, referent, sekretárka)</t>
  </si>
  <si>
    <t>Dôchodca</t>
  </si>
  <si>
    <t>Chovateľ hospodárskych zvierat a hydiny</t>
  </si>
  <si>
    <t>Diplomat</t>
  </si>
  <si>
    <t>Advokát</t>
  </si>
  <si>
    <t>Dramaturg</t>
  </si>
  <si>
    <t>Chovateľ veľkých zvierat</t>
  </si>
  <si>
    <t>Agronóm</t>
  </si>
  <si>
    <t xml:space="preserve">Drevorubač </t>
  </si>
  <si>
    <t>Akrobat, artista</t>
  </si>
  <si>
    <t>Drevo staviteľ</t>
  </si>
  <si>
    <t>I</t>
  </si>
  <si>
    <t>Antropológ</t>
  </si>
  <si>
    <t>Drobnochovateľ</t>
  </si>
  <si>
    <t>Informatik</t>
  </si>
  <si>
    <t>Archeológ</t>
  </si>
  <si>
    <t>Inseminátor</t>
  </si>
  <si>
    <t>Archivár</t>
  </si>
  <si>
    <t>E</t>
  </si>
  <si>
    <t>Inštalatér</t>
  </si>
  <si>
    <t>Asfaltér</t>
  </si>
  <si>
    <t>Ekológ</t>
  </si>
  <si>
    <t>Inštruktor v autoškole, učiteľ  v autoškole</t>
  </si>
  <si>
    <t>Astrológ</t>
  </si>
  <si>
    <t>Ekonóm</t>
  </si>
  <si>
    <t>Astronóm</t>
  </si>
  <si>
    <t>Elektroinštalatér</t>
  </si>
  <si>
    <t>Inštrumentár</t>
  </si>
  <si>
    <t>Autolakovač</t>
  </si>
  <si>
    <t>Elektromechanik, elektrotechnik</t>
  </si>
  <si>
    <t>Izolatér</t>
  </si>
  <si>
    <t>Automechanik</t>
  </si>
  <si>
    <t>Elektrostrojník</t>
  </si>
  <si>
    <t>Automobilový pretekár</t>
  </si>
  <si>
    <t>N</t>
  </si>
  <si>
    <t>J</t>
  </si>
  <si>
    <t>F</t>
  </si>
  <si>
    <t>Jadrový technik</t>
  </si>
  <si>
    <t>B</t>
  </si>
  <si>
    <t>Farbiar</t>
  </si>
  <si>
    <t>Jaskyniar</t>
  </si>
  <si>
    <t>Baletka</t>
  </si>
  <si>
    <t>Farmaceut</t>
  </si>
  <si>
    <t>Jazykovedec</t>
  </si>
  <si>
    <t>Baletný majster</t>
  </si>
  <si>
    <t>Farmaceutický laborant</t>
  </si>
  <si>
    <t>Balič</t>
  </si>
  <si>
    <t>Farmakológ</t>
  </si>
  <si>
    <t>K</t>
  </si>
  <si>
    <t>Baník</t>
  </si>
  <si>
    <t>Filológ</t>
  </si>
  <si>
    <t>Kaderníčka</t>
  </si>
  <si>
    <t>Banský bezpečnostný technik</t>
  </si>
  <si>
    <t>Filozof</t>
  </si>
  <si>
    <t>Kamenár</t>
  </si>
  <si>
    <t>Banský inžinier</t>
  </si>
  <si>
    <t>Finančník</t>
  </si>
  <si>
    <t>Kameraman</t>
  </si>
  <si>
    <t>Bielič (bielizne)</t>
  </si>
  <si>
    <t>Fotograf</t>
  </si>
  <si>
    <t>Kartograf</t>
  </si>
  <si>
    <t>Biochemik</t>
  </si>
  <si>
    <t>Fotomodelka, manekýnka</t>
  </si>
  <si>
    <t>Kaskadér</t>
  </si>
  <si>
    <t>Biológ</t>
  </si>
  <si>
    <t>Fotosadzač</t>
  </si>
  <si>
    <t>Keramikár</t>
  </si>
  <si>
    <t>Brusič</t>
  </si>
  <si>
    <t>Frézar</t>
  </si>
  <si>
    <t>Klampiar</t>
  </si>
  <si>
    <t>Brusič skla, drahokamov</t>
  </si>
  <si>
    <t>Fúkač skla</t>
  </si>
  <si>
    <t>Klenotník</t>
  </si>
  <si>
    <t>Fyzik</t>
  </si>
  <si>
    <t>Klobučník</t>
  </si>
  <si>
    <t>C</t>
  </si>
  <si>
    <t>Knihár</t>
  </si>
  <si>
    <t>Cestár</t>
  </si>
  <si>
    <t>G</t>
  </si>
  <si>
    <t>Knihovník</t>
  </si>
  <si>
    <t>Cirkevný úradník (kňaz, rehoľník, kostolník)</t>
  </si>
  <si>
    <t>Galvanizér</t>
  </si>
  <si>
    <t>Komentátor</t>
  </si>
  <si>
    <t>Garbiar</t>
  </si>
  <si>
    <t>Kominár</t>
  </si>
  <si>
    <t>Civilný zamestnanec armády</t>
  </si>
  <si>
    <t>Geodet, zememerač</t>
  </si>
  <si>
    <t>Konštruktér, konštrukčný technik, projektant, architekt, technický kreslič</t>
  </si>
  <si>
    <t>Colník, zamestnanec colnej správy</t>
  </si>
  <si>
    <t>Geofyzik</t>
  </si>
  <si>
    <t>Cukrár</t>
  </si>
  <si>
    <t>Geograf</t>
  </si>
  <si>
    <t>Kontrolór plynomerov, tlakomerov</t>
  </si>
  <si>
    <t>Cvičiteľ zvierat</t>
  </si>
  <si>
    <t>Geológ</t>
  </si>
  <si>
    <t>Kontrolór tovaru</t>
  </si>
  <si>
    <t>Grafik</t>
  </si>
  <si>
    <t>Konzervátor</t>
  </si>
  <si>
    <t>Č</t>
  </si>
  <si>
    <t>Grafológ</t>
  </si>
  <si>
    <t>Korektor</t>
  </si>
  <si>
    <t>Čalúnnik</t>
  </si>
  <si>
    <t>Gravírnik</t>
  </si>
  <si>
    <t>Kormidelník</t>
  </si>
  <si>
    <t>Čašník, barman, servírka</t>
  </si>
  <si>
    <t>Kostymér</t>
  </si>
  <si>
    <t>Čipkár</t>
  </si>
  <si>
    <t>H</t>
  </si>
  <si>
    <t>Košikár</t>
  </si>
  <si>
    <t>Čistič odpadových kanalizácii</t>
  </si>
  <si>
    <t>Herec</t>
  </si>
  <si>
    <t>Kotlár</t>
  </si>
  <si>
    <t>Čistič okien výškových budov</t>
  </si>
  <si>
    <t>Historik</t>
  </si>
  <si>
    <t>Kožušník</t>
  </si>
  <si>
    <t xml:space="preserve">Čistič okien, budov, ulíc, </t>
  </si>
  <si>
    <t>Hodinár</t>
  </si>
  <si>
    <t>Kováč</t>
  </si>
  <si>
    <t>Člen ochrannej a bezpečnostnej služby</t>
  </si>
  <si>
    <t>Holič</t>
  </si>
  <si>
    <t>Kozmetička</t>
  </si>
  <si>
    <t>Horský vodca</t>
  </si>
  <si>
    <t>Krajčír</t>
  </si>
  <si>
    <t>Člen ochr. a bezpeč. služby - preprava peňazí</t>
  </si>
  <si>
    <t>Hrnčiar</t>
  </si>
  <si>
    <t>Kritik</t>
  </si>
  <si>
    <t>Hrobár</t>
  </si>
  <si>
    <t>Kŕmič</t>
  </si>
  <si>
    <t>Člen posádky lietadla, lode</t>
  </si>
  <si>
    <t>Hudobník</t>
  </si>
  <si>
    <t>Krotiteľ - iný</t>
  </si>
  <si>
    <t>Husliar</t>
  </si>
  <si>
    <t>Krotiteľ divej zveri</t>
  </si>
  <si>
    <t>Hutník</t>
  </si>
  <si>
    <t>Krupier</t>
  </si>
  <si>
    <t>Debnár</t>
  </si>
  <si>
    <t>Hydrológ</t>
  </si>
  <si>
    <t>Kuchár</t>
  </si>
  <si>
    <t>Dekoratér, aranžér</t>
  </si>
  <si>
    <t>Hygienický laborant</t>
  </si>
  <si>
    <t>Kulisár</t>
  </si>
  <si>
    <t>Detektív</t>
  </si>
  <si>
    <t>Hygienik</t>
  </si>
  <si>
    <t>Kurátor (múzeum, galéria)</t>
  </si>
  <si>
    <t>Dirigent</t>
  </si>
  <si>
    <t>Kurič</t>
  </si>
  <si>
    <t>Dláždič</t>
  </si>
  <si>
    <t>Ch</t>
  </si>
  <si>
    <t>Kynológ</t>
  </si>
  <si>
    <t>Dojič</t>
  </si>
  <si>
    <t>Chemický laborant</t>
  </si>
  <si>
    <t>Domovník</t>
  </si>
  <si>
    <t>Chemik (bez rizika na pracovisku)</t>
  </si>
  <si>
    <t>L</t>
  </si>
  <si>
    <t>Dozorca v nápravno-výchovnom zariadení</t>
  </si>
  <si>
    <t>Choreograf</t>
  </si>
  <si>
    <t>Laborant - pozri H, CH, Z</t>
  </si>
  <si>
    <t>Chovateľ a ošetrovateľ zvierat v ZOO</t>
  </si>
  <si>
    <t>Ladič klavírov</t>
  </si>
  <si>
    <t>O</t>
  </si>
  <si>
    <t>Lakovník</t>
  </si>
  <si>
    <t>Obsluha žeriavov, vlekov, manipulačných zariad., zdvíhacích mostov, vysokozdviž. vozíkov</t>
  </si>
  <si>
    <t>Pracovník s azbest. materiálom</t>
  </si>
  <si>
    <t>Pracovník s dezinfekč. látkami</t>
  </si>
  <si>
    <t>Lekár záchrannej leteckej služby</t>
  </si>
  <si>
    <t>Pracovník s horľavinami</t>
  </si>
  <si>
    <t>Lekár záchrannej služby</t>
  </si>
  <si>
    <t>Obsluha zemných a príbuzných strojov</t>
  </si>
  <si>
    <t>Pracovník s leptavými látkami</t>
  </si>
  <si>
    <t>Lekárnik</t>
  </si>
  <si>
    <t>Obuvník</t>
  </si>
  <si>
    <t>Pracovník so žieravinami, jedmi</t>
  </si>
  <si>
    <t>Lektor</t>
  </si>
  <si>
    <t>Odborný poradca, zástupca</t>
  </si>
  <si>
    <t>Pracovník správy železníc</t>
  </si>
  <si>
    <t>Lesník, správca hospodárstva lesného revíru</t>
  </si>
  <si>
    <t>Operátor výpočtovej techniky, informatiky</t>
  </si>
  <si>
    <t>Pracovník štátnej správy (okrem policajtov a vojakov)</t>
  </si>
  <si>
    <t>Opravár domácich spotrebičov</t>
  </si>
  <si>
    <t>Lesný robotník</t>
  </si>
  <si>
    <t>Opravár výťahov</t>
  </si>
  <si>
    <t>Pracovník tehelne, panelárne, výrobne prefabrikátov</t>
  </si>
  <si>
    <t>Lešenár</t>
  </si>
  <si>
    <t>Optik</t>
  </si>
  <si>
    <t>Leštič</t>
  </si>
  <si>
    <t>Ortopedický mechanik</t>
  </si>
  <si>
    <t>Pracovník v čistiarni, v práčovni</t>
  </si>
  <si>
    <t>Letecký inštruktor, učiteľ lietania</t>
  </si>
  <si>
    <t>Osvetľovač</t>
  </si>
  <si>
    <t>Pracovník v lomoch</t>
  </si>
  <si>
    <t>Letiskový dispečer</t>
  </si>
  <si>
    <t>Ošetrovateľ</t>
  </si>
  <si>
    <t>Pracovník v pohrebnej službe</t>
  </si>
  <si>
    <t>Litograf, kameňotlačiar</t>
  </si>
  <si>
    <t>Ošetrovateľ hospodárskych zvierat</t>
  </si>
  <si>
    <t>Pracovník v priamom styku s výbušninou</t>
  </si>
  <si>
    <t>Lodiar</t>
  </si>
  <si>
    <t>Lodivod</t>
  </si>
  <si>
    <t>P</t>
  </si>
  <si>
    <t>Pracovník v ZOO (bez styku so zvieratami)</t>
  </si>
  <si>
    <t>Lodník (riečna plavba)</t>
  </si>
  <si>
    <t>Palubný rádiotelegrafista</t>
  </si>
  <si>
    <t>Parketár</t>
  </si>
  <si>
    <t>Pracovník zásielky, odosielanie tovaru</t>
  </si>
  <si>
    <t>M</t>
  </si>
  <si>
    <t>Parochniar</t>
  </si>
  <si>
    <t>Majster odborného výcviku</t>
  </si>
  <si>
    <t>Pastier, ovčiar</t>
  </si>
  <si>
    <t>Právnik</t>
  </si>
  <si>
    <t>Maklér, obchodný sprostredkovateľ</t>
  </si>
  <si>
    <t>Pedikérka</t>
  </si>
  <si>
    <t>Právny asistent</t>
  </si>
  <si>
    <t>Maliar skla</t>
  </si>
  <si>
    <t>Pekár</t>
  </si>
  <si>
    <t>Predavač</t>
  </si>
  <si>
    <t>Maliar, natierač, tapetár</t>
  </si>
  <si>
    <t>Pestovateľ sadeníc a plodín</t>
  </si>
  <si>
    <t>Prekladateľ, tlmočník</t>
  </si>
  <si>
    <t>Manažér</t>
  </si>
  <si>
    <t>Pilot</t>
  </si>
  <si>
    <t>Premietač</t>
  </si>
  <si>
    <t>Manikérka</t>
  </si>
  <si>
    <t>Pivovarník, pracovník v pivovare a liehovare</t>
  </si>
  <si>
    <t>Preparátor</t>
  </si>
  <si>
    <t>Masér</t>
  </si>
  <si>
    <t>Prievozník</t>
  </si>
  <si>
    <t>Maskér</t>
  </si>
  <si>
    <t>Plavčík</t>
  </si>
  <si>
    <t>Producent</t>
  </si>
  <si>
    <t>Matematik</t>
  </si>
  <si>
    <t>Pletiar, pradiar</t>
  </si>
  <si>
    <t>Programátor</t>
  </si>
  <si>
    <t>Mäsiar (bitúnok)</t>
  </si>
  <si>
    <t>Poľnohospodársky, potravin. technik</t>
  </si>
  <si>
    <t xml:space="preserve">Prokurátor </t>
  </si>
  <si>
    <t>Mäsiar (predajňa)</t>
  </si>
  <si>
    <t>Poľovník</t>
  </si>
  <si>
    <t>Psychológ</t>
  </si>
  <si>
    <t>Mechanik - ľahký priemysel - jemný mechanik</t>
  </si>
  <si>
    <t>Pohraničník, hraničiar, príslušník Pohraničnej stráže</t>
  </si>
  <si>
    <t>R</t>
  </si>
  <si>
    <t>Mechanik - ťažký priemysel - strojný mechanik</t>
  </si>
  <si>
    <t>Požiarnik</t>
  </si>
  <si>
    <t>Rádiomechanik</t>
  </si>
  <si>
    <t>Požiarny technik</t>
  </si>
  <si>
    <t>Rádiotechnik</t>
  </si>
  <si>
    <t>Mechanik a opravár motorových vozidiel</t>
  </si>
  <si>
    <t>Pokladník</t>
  </si>
  <si>
    <t>Rádiotelegrafista</t>
  </si>
  <si>
    <t>Pokrývač</t>
  </si>
  <si>
    <t>Razič</t>
  </si>
  <si>
    <t>Mechanik spracovania dreva</t>
  </si>
  <si>
    <t>Policajt</t>
  </si>
  <si>
    <t>Redaktor</t>
  </si>
  <si>
    <t>Metalizér</t>
  </si>
  <si>
    <t>Politológ</t>
  </si>
  <si>
    <t>Rehabilitačný pracovník</t>
  </si>
  <si>
    <t>Metalurg</t>
  </si>
  <si>
    <t>Pomocník v kuchyni</t>
  </si>
  <si>
    <t>Režisér</t>
  </si>
  <si>
    <t xml:space="preserve">Meteorológ </t>
  </si>
  <si>
    <t>Pomocník zverolekára</t>
  </si>
  <si>
    <t>Reklamný a propagačný pracovník</t>
  </si>
  <si>
    <t>Mlynár</t>
  </si>
  <si>
    <t>Pomocný robotník</t>
  </si>
  <si>
    <t>Reportér</t>
  </si>
  <si>
    <t>Modelár</t>
  </si>
  <si>
    <t>Porážač (bitúnok)</t>
  </si>
  <si>
    <t>Reštaurátor</t>
  </si>
  <si>
    <t xml:space="preserve">Montér </t>
  </si>
  <si>
    <t>Posunovač</t>
  </si>
  <si>
    <t>Retušér</t>
  </si>
  <si>
    <t>Montér stožiarov vysokého napätia</t>
  </si>
  <si>
    <t>Poštový doručovateľ, poštár</t>
  </si>
  <si>
    <t>Revízor</t>
  </si>
  <si>
    <t>Murárske a betonárske práce</t>
  </si>
  <si>
    <t>Potrubár</t>
  </si>
  <si>
    <t>Rezač, ohýbač kovov</t>
  </si>
  <si>
    <t>Povrazár</t>
  </si>
  <si>
    <t>Rezbár</t>
  </si>
  <si>
    <t>Pozemné vojsko: bez špeciál. rizika</t>
  </si>
  <si>
    <t>Remeselník</t>
  </si>
  <si>
    <t>Nakladač (vykladač) tovaru</t>
  </si>
  <si>
    <t>Pozemné vojsko: kvalifik.technik</t>
  </si>
  <si>
    <t>Roľník, súkromný hospodár</t>
  </si>
  <si>
    <t>Námorník (námorná plavba)</t>
  </si>
  <si>
    <t>Pozemné vojsko: pyrotechnik</t>
  </si>
  <si>
    <t>Robotník (bez bliž. urč.)</t>
  </si>
  <si>
    <t>Nástrojár</t>
  </si>
  <si>
    <t>Pracovník cementárne, vápenky</t>
  </si>
  <si>
    <t>Robotník pri ťažbe dreva</t>
  </si>
  <si>
    <t>Navigátor</t>
  </si>
  <si>
    <t>Pracovník demolačnej čaty</t>
  </si>
  <si>
    <t>Robotník pri výrobe skla</t>
  </si>
  <si>
    <t>Nezamestnaný</t>
  </si>
  <si>
    <t>Pracovník horskej služby</t>
  </si>
  <si>
    <t>Robotník s plastmi</t>
  </si>
  <si>
    <t>Ničiteľ škodcov (zveri, rastlín), deratizátor</t>
  </si>
  <si>
    <t>Pracovník hotela (hoteliér, chyžná, recepčný)</t>
  </si>
  <si>
    <t>Roletár, žaluziar</t>
  </si>
  <si>
    <t>Röntgenológ</t>
  </si>
  <si>
    <t>Notár</t>
  </si>
  <si>
    <t>Pracovník jadrových, tepelných, vodných elektrárni</t>
  </si>
  <si>
    <t>Rozhlasový a televízny hlásateľ</t>
  </si>
  <si>
    <t>Novinár, žurnalista</t>
  </si>
  <si>
    <t>Rozhodca -podľa druhu športu o jednu skupinu nižšie</t>
  </si>
  <si>
    <t>Pracovník odčítavajúci stav elektromerov, plynomerov, vodomerov</t>
  </si>
  <si>
    <t>Rozmnožovač tlačovín, pracovník kopírovacej služby</t>
  </si>
  <si>
    <t>Obsluha a údržba poľnohosp. a lesných strojov</t>
  </si>
  <si>
    <t>Pracovník policaj. správy, policaj. úradník</t>
  </si>
  <si>
    <t>Pracovník prepravy</t>
  </si>
  <si>
    <t>Rušňovodič, strojvodca</t>
  </si>
  <si>
    <t>Obsluha čerpacej stanice, pumpár</t>
  </si>
  <si>
    <t>Pracovník pri peci (teheľňa, vápenka, keramický priemysel)</t>
  </si>
  <si>
    <t>Rybár</t>
  </si>
  <si>
    <t>S</t>
  </si>
  <si>
    <t>Š</t>
  </si>
  <si>
    <t>V</t>
  </si>
  <si>
    <t>Sadzač</t>
  </si>
  <si>
    <t>Šatniar, toaletár</t>
  </si>
  <si>
    <t>Vojenské letectvo: pasažieri, bez rizika leteckej prepravy</t>
  </si>
  <si>
    <t>Sanitár</t>
  </si>
  <si>
    <t>Šička</t>
  </si>
  <si>
    <t>Scenárista</t>
  </si>
  <si>
    <t>Školiteľ</t>
  </si>
  <si>
    <t>Vojenské letectvo: piloti a posádka stíhačiek</t>
  </si>
  <si>
    <t>Scénograf</t>
  </si>
  <si>
    <t>Školník</t>
  </si>
  <si>
    <t>Sedlár</t>
  </si>
  <si>
    <t>Športový tréner</t>
  </si>
  <si>
    <t>Vojenské letectvo: piloti a posádka vrtuľníkov a transportných lietadiel</t>
  </si>
  <si>
    <t>Sieťotlačiar</t>
  </si>
  <si>
    <t>Štatistik</t>
  </si>
  <si>
    <t>Skladateľ</t>
  </si>
  <si>
    <t>Študent</t>
  </si>
  <si>
    <t>Vojenské letectvo: výsadkári</t>
  </si>
  <si>
    <t>Skladník</t>
  </si>
  <si>
    <t>Štukatér</t>
  </si>
  <si>
    <t>Sklenár</t>
  </si>
  <si>
    <t>Vojenské námorníctvo: ponorky</t>
  </si>
  <si>
    <t>Sladovník</t>
  </si>
  <si>
    <t>T</t>
  </si>
  <si>
    <t>Vojenské námorníctvo: potápač</t>
  </si>
  <si>
    <t>Smaltovač</t>
  </si>
  <si>
    <t>Tanečník (spoločenské tance, folkór)</t>
  </si>
  <si>
    <t>Vojenské námorníctvo: pracovníci na súši</t>
  </si>
  <si>
    <t>Smetiar</t>
  </si>
  <si>
    <t>Tavič</t>
  </si>
  <si>
    <t>Sociálny pracovník</t>
  </si>
  <si>
    <t xml:space="preserve">Taxikár                                                                                                                                                                                                                                                        </t>
  </si>
  <si>
    <t>Vrátnik</t>
  </si>
  <si>
    <t>Sociológ</t>
  </si>
  <si>
    <t>Technicko-hospodársky pracovník</t>
  </si>
  <si>
    <t>Vulkanizér</t>
  </si>
  <si>
    <t>Sochár</t>
  </si>
  <si>
    <t>Technik (bez bliž. urč.)</t>
  </si>
  <si>
    <t>Výčapník, krčmár</t>
  </si>
  <si>
    <t>Spevák</t>
  </si>
  <si>
    <t>Technik meracích a regulač.zariadení</t>
  </si>
  <si>
    <t>Vychovávateľ v detsk. domove</t>
  </si>
  <si>
    <t>Spisovateľ</t>
  </si>
  <si>
    <t>Technik údržby lietadiel a lodí</t>
  </si>
  <si>
    <t>Výpravca</t>
  </si>
  <si>
    <t>Spracovateľ textílií a umelec. látok</t>
  </si>
  <si>
    <t>Technik v železničnej prevádzke</t>
  </si>
  <si>
    <t>Výrobca hudobných nástrojov</t>
  </si>
  <si>
    <t>Správca budovy</t>
  </si>
  <si>
    <t>Telefonista</t>
  </si>
  <si>
    <t>Výrobca tehál, obkladačiek, …</t>
  </si>
  <si>
    <t>Správca vidieckeho hospodárstva a chovu zvierat</t>
  </si>
  <si>
    <t>Telegrafista</t>
  </si>
  <si>
    <t>Výrobca umeleckých predmetov</t>
  </si>
  <si>
    <t>Telesný strážca</t>
  </si>
  <si>
    <t>Výskumník, prieskumník</t>
  </si>
  <si>
    <t>Sprievodca turistov</t>
  </si>
  <si>
    <t>Tesár</t>
  </si>
  <si>
    <t>Vysokohorský nosič</t>
  </si>
  <si>
    <t>Sprievodca vo vlaku</t>
  </si>
  <si>
    <t>Tkáč</t>
  </si>
  <si>
    <t>Výtvarník</t>
  </si>
  <si>
    <t>Stavbár</t>
  </si>
  <si>
    <t>Tlačiar</t>
  </si>
  <si>
    <t>Stavbár tunelov a šiacht</t>
  </si>
  <si>
    <t>Triedič tovaru</t>
  </si>
  <si>
    <t>Z</t>
  </si>
  <si>
    <t>Stavbár výškových stavieb, mostov</t>
  </si>
  <si>
    <t>Truhlár</t>
  </si>
  <si>
    <t>Záhradník</t>
  </si>
  <si>
    <t>Stavbyvedúci</t>
  </si>
  <si>
    <t>Tunelár</t>
  </si>
  <si>
    <t>Záchranár</t>
  </si>
  <si>
    <t>Stavebný inžinier - admin.pracovník</t>
  </si>
  <si>
    <t>Zametač, zberač odpadkov</t>
  </si>
  <si>
    <t>Stavebný kontrolór, stavebný dozor</t>
  </si>
  <si>
    <t>U</t>
  </si>
  <si>
    <t xml:space="preserve">Zámočník </t>
  </si>
  <si>
    <t>Stavebný montážnik</t>
  </si>
  <si>
    <t>Učiteľ</t>
  </si>
  <si>
    <t>Zámočník oceľových stavieb / konštrukcií/</t>
  </si>
  <si>
    <t>Stavebný technik</t>
  </si>
  <si>
    <t>Učiteľ tanca</t>
  </si>
  <si>
    <t>Staviteľ lodí</t>
  </si>
  <si>
    <t>Účtovník</t>
  </si>
  <si>
    <t>Zapisovateľ</t>
  </si>
  <si>
    <t>Stenografista</t>
  </si>
  <si>
    <t>Umelec (bez bliž. urč.)</t>
  </si>
  <si>
    <t>Závozník</t>
  </si>
  <si>
    <t>Stenotypista</t>
  </si>
  <si>
    <t>Umelecký návrhár</t>
  </si>
  <si>
    <t>Zdravotný laborant</t>
  </si>
  <si>
    <t>Steward</t>
  </si>
  <si>
    <t>Umelecký zámočník</t>
  </si>
  <si>
    <t>Zdravotná sestra</t>
  </si>
  <si>
    <t>Stolár</t>
  </si>
  <si>
    <t>Upratovač</t>
  </si>
  <si>
    <t>Zdravotný praktikant</t>
  </si>
  <si>
    <t>Strážnik</t>
  </si>
  <si>
    <t>Usporiadateľ, vystavovateľ</t>
  </si>
  <si>
    <t>Zlatník</t>
  </si>
  <si>
    <t>Strelmajster</t>
  </si>
  <si>
    <t>Zlatotepec</t>
  </si>
  <si>
    <t>Strihač</t>
  </si>
  <si>
    <t>Zlievač</t>
  </si>
  <si>
    <t>Strojmajster</t>
  </si>
  <si>
    <t>Vedecký pracovník</t>
  </si>
  <si>
    <t>Zoológ</t>
  </si>
  <si>
    <t>Strojník</t>
  </si>
  <si>
    <t>Vedúci pracovnej skupiny, predák</t>
  </si>
  <si>
    <t>Zootechnik</t>
  </si>
  <si>
    <t>Strojník, obsluha a údržba strojov a zariadení</t>
  </si>
  <si>
    <t>Vedúci, riadiaci pracovník</t>
  </si>
  <si>
    <t>Zubný technik</t>
  </si>
  <si>
    <t>Včelár</t>
  </si>
  <si>
    <t>Zvárač</t>
  </si>
  <si>
    <t>Strojný zámočník</t>
  </si>
  <si>
    <t>Vinohradník, ovocinár, chmeliar</t>
  </si>
  <si>
    <t>Zverolekár</t>
  </si>
  <si>
    <t>Studniar</t>
  </si>
  <si>
    <t>Vodič bezmotorových vozidiel</t>
  </si>
  <si>
    <t>Zvukár</t>
  </si>
  <si>
    <t>Sudca</t>
  </si>
  <si>
    <t>Vodič koľajových motor. vozidiel</t>
  </si>
  <si>
    <t>Súdny vykonávateľ</t>
  </si>
  <si>
    <t>Vodič osobných, dodávkových, sanitných, nákladných vozidiel, trolejbusov, autobusov</t>
  </si>
  <si>
    <t>Ž</t>
  </si>
  <si>
    <t>Sústružník</t>
  </si>
  <si>
    <t>Žehlič</t>
  </si>
  <si>
    <t>Vodič z povolania</t>
  </si>
  <si>
    <t>Žena(muž) na mater. dovolenke</t>
  </si>
  <si>
    <t>Vojak z povolania</t>
  </si>
  <si>
    <t>Žena (muž) v domácnosti</t>
  </si>
  <si>
    <t>Šľachtiteľ</t>
  </si>
  <si>
    <t>Vojak základnej vojenskej služby</t>
  </si>
  <si>
    <t>PRACOVNÁ ČINNOSŤ</t>
  </si>
  <si>
    <t>Badminton</t>
  </si>
  <si>
    <t>Motorizmus</t>
  </si>
  <si>
    <t>Baseball</t>
  </si>
  <si>
    <t>Basketbal</t>
  </si>
  <si>
    <t>Beh na lyžiach</t>
  </si>
  <si>
    <t>Paragliding</t>
  </si>
  <si>
    <t>Bobovanie</t>
  </si>
  <si>
    <t>Parašutizmus</t>
  </si>
  <si>
    <t>Bodybuilding</t>
  </si>
  <si>
    <t>Plachtenie</t>
  </si>
  <si>
    <t>Bowling</t>
  </si>
  <si>
    <t>Plávanie</t>
  </si>
  <si>
    <t>Box</t>
  </si>
  <si>
    <t>Potápanie</t>
  </si>
  <si>
    <t>Bungee jumping</t>
  </si>
  <si>
    <t>Rekreačný športovec</t>
  </si>
  <si>
    <t>Cyklistika</t>
  </si>
  <si>
    <t>Rugby</t>
  </si>
  <si>
    <t>Džudo</t>
  </si>
  <si>
    <t>Sánkovanie</t>
  </si>
  <si>
    <t>Skalolezectvo</t>
  </si>
  <si>
    <t>Skauting</t>
  </si>
  <si>
    <t>Fitness</t>
  </si>
  <si>
    <t>Skoky do vody, lyžiach</t>
  </si>
  <si>
    <t>Futbal</t>
  </si>
  <si>
    <t>Stolný tenis</t>
  </si>
  <si>
    <t>Streľba</t>
  </si>
  <si>
    <t>Golf</t>
  </si>
  <si>
    <t>Gymnastika</t>
  </si>
  <si>
    <t>Šach</t>
  </si>
  <si>
    <t>Šermovanie</t>
  </si>
  <si>
    <t>Športové rybárstvo</t>
  </si>
  <si>
    <t>Hádzaná</t>
  </si>
  <si>
    <t>Športy vo vzduchu</t>
  </si>
  <si>
    <t>Hokej</t>
  </si>
  <si>
    <t>Tanec</t>
  </si>
  <si>
    <t>Jaskyniarstvo</t>
  </si>
  <si>
    <t>Tenis</t>
  </si>
  <si>
    <t>Jazda na kajakoch</t>
  </si>
  <si>
    <t>Jazda na kanoe</t>
  </si>
  <si>
    <t>Jazdectvo</t>
  </si>
  <si>
    <t>Veslovanie</t>
  </si>
  <si>
    <t>Vodné lyžovanie</t>
  </si>
  <si>
    <t>Karate a ostatné bojové umenia</t>
  </si>
  <si>
    <t>Vodné pólo</t>
  </si>
  <si>
    <t>Kolky</t>
  </si>
  <si>
    <t>Volejbal</t>
  </si>
  <si>
    <t>Korčuľovanie</t>
  </si>
  <si>
    <t>Vysokohorská turistika</t>
  </si>
  <si>
    <t>Krasojazda</t>
  </si>
  <si>
    <t>Vzpieranie</t>
  </si>
  <si>
    <t>Kulturistika</t>
  </si>
  <si>
    <t>telesná výchova - rekreačná</t>
  </si>
  <si>
    <t>Lietanie</t>
  </si>
  <si>
    <t>Záhradkár</t>
  </si>
  <si>
    <t>Lyžovanie</t>
  </si>
  <si>
    <t>Zápasenie</t>
  </si>
  <si>
    <t>Ľahká atletika</t>
  </si>
  <si>
    <t>Zjazdové a akrobatické lyžovanie</t>
  </si>
  <si>
    <t>ZÁUJMOVÁ ČINNOSŤ</t>
  </si>
  <si>
    <t>POISTNÉ KRYTIE - DOSPELÝ</t>
  </si>
  <si>
    <t>trvalé následky úrazu s progresiou 450</t>
  </si>
  <si>
    <t>kompenzácia za chirurgický zákrok</t>
  </si>
  <si>
    <t>bolestné</t>
  </si>
  <si>
    <t>trvalé následky úrazu</t>
  </si>
  <si>
    <t>čas nevyhnutného liečenia po úraze</t>
  </si>
  <si>
    <t xml:space="preserve">TNU </t>
  </si>
  <si>
    <t>TNU PP 450</t>
  </si>
  <si>
    <t>KCH</t>
  </si>
  <si>
    <t>TNU PP450 + B</t>
  </si>
  <si>
    <t>ROČNÉ poistné (v EUR)</t>
  </si>
  <si>
    <t>PS TNU (v EUR)</t>
  </si>
  <si>
    <t>TNÚ PP 450</t>
  </si>
  <si>
    <t>DOSPELÝ</t>
  </si>
  <si>
    <r>
      <t>UNION ISTOTA</t>
    </r>
    <r>
      <rPr>
        <sz val="11"/>
        <rFont val="Arial"/>
        <family val="2"/>
      </rPr>
      <t xml:space="preserve"> je komplexné úrazové poistenie pre jednotlivcov a ich deti. Poistenie sa vzťahuje na úrazy, ktoré poistené osoby utrpia v bežnom aj v pracovnom živote, počas celého dňa kdekoľvek na svete.</t>
    </r>
  </si>
  <si>
    <t xml:space="preserve">trvalé následky úrazu s progresiou 450 </t>
  </si>
  <si>
    <t>POISTNÁ ZMLUVA</t>
  </si>
  <si>
    <t>PRE INDIVIDUÁLNE ÚRAZOVÉ POISTENIE - UNION ISTOTA</t>
  </si>
  <si>
    <r>
      <t xml:space="preserve">Titul </t>
    </r>
    <r>
      <rPr>
        <vertAlign val="superscript"/>
        <sz val="7.5"/>
        <rFont val="Arial"/>
        <family val="2"/>
        <charset val="238"/>
      </rPr>
      <t>1)</t>
    </r>
  </si>
  <si>
    <r>
      <t xml:space="preserve">Telefón </t>
    </r>
    <r>
      <rPr>
        <vertAlign val="superscript"/>
        <sz val="7.5"/>
        <rFont val="Arial"/>
        <family val="2"/>
        <charset val="238"/>
      </rPr>
      <t>1)</t>
    </r>
  </si>
  <si>
    <r>
      <t xml:space="preserve">E-mail </t>
    </r>
    <r>
      <rPr>
        <vertAlign val="superscript"/>
        <sz val="7.5"/>
        <rFont val="Arial"/>
        <family val="2"/>
        <charset val="238"/>
      </rPr>
      <t>1)</t>
    </r>
  </si>
  <si>
    <r>
      <t xml:space="preserve">Rodinný stav </t>
    </r>
    <r>
      <rPr>
        <vertAlign val="superscript"/>
        <sz val="7.5"/>
        <rFont val="Arial"/>
        <family val="2"/>
        <charset val="238"/>
      </rPr>
      <t>1)</t>
    </r>
  </si>
  <si>
    <t>Poistná doba</t>
  </si>
  <si>
    <t>Počet rokov</t>
  </si>
  <si>
    <r>
      <t xml:space="preserve">vykonávaná   rekreačne / súťažne / registrovane v oddieli (klube) </t>
    </r>
    <r>
      <rPr>
        <vertAlign val="superscript"/>
        <sz val="7"/>
        <rFont val="Arial"/>
        <family val="2"/>
        <charset val="238"/>
      </rPr>
      <t>3)</t>
    </r>
  </si>
  <si>
    <t>5. POISTNÉ OBDOBIE</t>
  </si>
  <si>
    <t>Poistné je splatné prvým dňom poistného obdobia.</t>
  </si>
  <si>
    <t>poistné za poistné obdobie</t>
  </si>
  <si>
    <t xml:space="preserve">Trvalé následky úrazu </t>
  </si>
  <si>
    <t xml:space="preserve">Denné odškodné v prípade hospitalizácie v dôsledku úrazu </t>
  </si>
  <si>
    <t>Čas nevyhnutného liečenia po úraze</t>
  </si>
  <si>
    <t>Denná náhrada v prípade práceneschopnosti po úraze</t>
  </si>
  <si>
    <t>Kompenzácia za chirurgický zákrok</t>
  </si>
  <si>
    <t xml:space="preserve">Výplata bolestného pre prípad hospitalizácie po úraze sa </t>
  </si>
  <si>
    <t>dojednáva</t>
  </si>
  <si>
    <t>nedojednáva</t>
  </si>
  <si>
    <t>poistné za poistné obdobie spolu</t>
  </si>
  <si>
    <t>poistné za jedno poistené dieťa za poistné obdobie</t>
  </si>
  <si>
    <t>Dátum konca poistenia pre jednotlivé deti je najneskôr deň predchádzajúci výročnému dňu poistenia v kalendárnom roku, v ktorom poistené dieťa dosiahne vek 15 rokov.</t>
  </si>
  <si>
    <t>7. POISTNÉ</t>
  </si>
  <si>
    <t xml:space="preserve"> dieťa / deti</t>
  </si>
  <si>
    <t>Originál - klient 1. kópia - Union</t>
  </si>
  <si>
    <t>denné odškodné počas hospitalizácie</t>
  </si>
  <si>
    <t xml:space="preserve"> EUR</t>
  </si>
  <si>
    <t xml:space="preserve"> SKK</t>
  </si>
  <si>
    <t xml:space="preserve"> bez progresie </t>
  </si>
  <si>
    <t xml:space="preserve"> s progresiou 450</t>
  </si>
  <si>
    <r>
      <t>RS</t>
    </r>
    <r>
      <rPr>
        <sz val="8"/>
        <rFont val="Arial"/>
        <family val="2"/>
        <charset val="238"/>
      </rPr>
      <t>...........</t>
    </r>
  </si>
  <si>
    <r>
      <t>RS</t>
    </r>
    <r>
      <rPr>
        <sz val="8"/>
        <rFont val="Arial"/>
        <family val="2"/>
        <charset val="238"/>
      </rPr>
      <t>............</t>
    </r>
  </si>
  <si>
    <t xml:space="preserve">Trvalé následky úrazu s progresiou 450 </t>
  </si>
  <si>
    <t>BRONZ</t>
  </si>
  <si>
    <t>STRIEBRO</t>
  </si>
  <si>
    <t>ZLATO</t>
  </si>
  <si>
    <t xml:space="preserve">BRONZ  </t>
  </si>
  <si>
    <t>CNL</t>
  </si>
  <si>
    <t xml:space="preserve">6. POISTNÉ KRYTIE </t>
  </si>
  <si>
    <t>POISTNÉ KRYTIE PRE POISTENÉHO</t>
  </si>
  <si>
    <t xml:space="preserve">    Vám ponúka</t>
  </si>
  <si>
    <t>trvalé následky úrazu s progresiou450</t>
  </si>
  <si>
    <t>ZĽAVA - UNION ZDRAVOTNÁ POISŤOVŇA</t>
  </si>
  <si>
    <t>V prípade, že poistený je zároveň poistencom UNION zdravotnej poisťovne, poskytne sa 10 %-ná zľava na celkovom poistnom.</t>
  </si>
  <si>
    <t>Ak sú poistené len deti, 10 %-ná zľava sa poskytne v prípade, že aspoň jedno z poistených detí je poistencom UNION zdravotnej poisťovne.</t>
  </si>
  <si>
    <t xml:space="preserve">POISTNÉ KRYTIE PRE POISTENÉ DETI - BALÍKY </t>
  </si>
  <si>
    <t>(pre všetky deti sa dojednáva rovnaké poistné krytie)</t>
  </si>
  <si>
    <t>poistné sumy v EUR</t>
  </si>
  <si>
    <t>Čas nevyhnutného liečenia úrazu</t>
  </si>
  <si>
    <t>poistné sumy v SKK</t>
  </si>
  <si>
    <t>Trvalé následky úrazu s progresiou 450</t>
  </si>
  <si>
    <t xml:space="preserve"> Poistné za poistné obdobie za poisteného</t>
  </si>
  <si>
    <t xml:space="preserve"> ZĽAVA PRE KLIENTOV UZP**</t>
  </si>
  <si>
    <t>Číslo preukazu poistenca / prihlášky:</t>
  </si>
  <si>
    <t xml:space="preserve"> Poistné za poistné obdobie za</t>
  </si>
  <si>
    <t xml:space="preserve"> poistený:</t>
  </si>
  <si>
    <t>poistené dieťa:</t>
  </si>
  <si>
    <t xml:space="preserve"> Výška zľavy:</t>
  </si>
  <si>
    <t>EUR**</t>
  </si>
  <si>
    <t xml:space="preserve"> ** podmienky poskytnutia zľavy sú uvedené na zadnej strane poistnej zmluvy</t>
  </si>
  <si>
    <t>Predpísané poistné po zľave:</t>
  </si>
  <si>
    <t>vstupný vek najmladšieho dieťaťa</t>
  </si>
  <si>
    <t>koniec doby poistenia</t>
  </si>
  <si>
    <t>Koniec poistenia</t>
  </si>
  <si>
    <t>vstupný vek</t>
  </si>
  <si>
    <t>rok narodenia najmladšieho dieťaťa</t>
  </si>
  <si>
    <r>
      <t xml:space="preserve">Pod záujmovou činnosťou sa rozumie činnosť, ktorú poistený vykonáva mimo hlavného zamestnania, t.j. vedľajší pracovný pomer, koníček, šport. </t>
    </r>
    <r>
      <rPr>
        <strike/>
        <sz val="10"/>
        <rFont val="Arial"/>
        <family val="2"/>
      </rPr>
      <t xml:space="preserve"> </t>
    </r>
    <r>
      <rPr>
        <sz val="10"/>
        <rFont val="Arial"/>
        <family val="2"/>
      </rPr>
      <t xml:space="preserve">
Šport vykonávaný</t>
    </r>
    <r>
      <rPr>
        <b/>
        <sz val="10"/>
        <rFont val="Arial"/>
        <family val="2"/>
      </rPr>
      <t xml:space="preserve"> rekreačne </t>
    </r>
    <r>
      <rPr>
        <sz val="10"/>
        <rFont val="Arial"/>
        <family val="2"/>
      </rPr>
      <t xml:space="preserve">je vždy zaradený do rizikovej skupiny </t>
    </r>
    <r>
      <rPr>
        <b/>
        <sz val="10"/>
        <rFont val="Arial"/>
        <family val="2"/>
      </rPr>
      <t>RS1</t>
    </r>
    <r>
      <rPr>
        <sz val="10"/>
        <rFont val="Arial"/>
        <family val="2"/>
      </rPr>
      <t xml:space="preserve">. 
Šport vykonávaný </t>
    </r>
    <r>
      <rPr>
        <b/>
        <sz val="10"/>
        <rFont val="Arial"/>
        <family val="2"/>
      </rPr>
      <t>aktívne -</t>
    </r>
    <r>
      <rPr>
        <sz val="10"/>
        <rFont val="Arial"/>
        <family val="2"/>
      </rPr>
      <t xml:space="preserve"> športovec registrovaný v klube alebo zúčastňujúci sa súťaží (aj keď nie je registrovaný v klube) sa prirážkuje podľa zoznamu záujmových činností.
Ak poistený vykonáva jednu z činností v nižšej rizikovej skupine a druhú vo vyššej rizikovej skupine, je zaradený do vyššej rizikovej skupiny.
</t>
    </r>
  </si>
  <si>
    <t>ČÍSLO POISTNEJ ZMLUVY</t>
  </si>
  <si>
    <t>Je poistník súčasne poistenou osobou?</t>
  </si>
  <si>
    <t>nie</t>
  </si>
  <si>
    <t>1. POISTNÍK</t>
  </si>
  <si>
    <t>Titul</t>
  </si>
  <si>
    <t>Trvalé bydlisko</t>
  </si>
  <si>
    <t>Adresa na korešpondenciu (ak je iná ako trvalé bydlisko)</t>
  </si>
  <si>
    <t>Ulica, číslo</t>
  </si>
  <si>
    <t>Telefón</t>
  </si>
  <si>
    <t>E-mail</t>
  </si>
  <si>
    <t>Štátne občianstvo</t>
  </si>
  <si>
    <t>Číslo účtu / kód banky</t>
  </si>
  <si>
    <t>Kontrola RČ</t>
  </si>
  <si>
    <t>poistník</t>
  </si>
  <si>
    <t>prvá časť</t>
  </si>
  <si>
    <t>druhá časť</t>
  </si>
  <si>
    <t xml:space="preserve">ÚDAJE DO POISTNEJ ZMLUVY  </t>
  </si>
  <si>
    <t>poistený</t>
  </si>
  <si>
    <r>
      <t>Rodinný stav</t>
    </r>
    <r>
      <rPr>
        <b/>
        <vertAlign val="superscript"/>
        <sz val="10"/>
        <rFont val="Arial"/>
        <family val="2"/>
        <charset val="238"/>
      </rPr>
      <t>1)</t>
    </r>
  </si>
  <si>
    <r>
      <t>Číslo ID</t>
    </r>
    <r>
      <rPr>
        <b/>
        <vertAlign val="superscript"/>
        <sz val="10"/>
        <rFont val="Arial"/>
        <family val="2"/>
        <charset val="238"/>
      </rPr>
      <t>2)</t>
    </r>
  </si>
  <si>
    <t xml:space="preserve">Zamestnávateľ - názov, adresa </t>
  </si>
  <si>
    <t>Št. občianstvo</t>
  </si>
  <si>
    <t>Zamestnávateľ - názov, adresa</t>
  </si>
  <si>
    <t>áno</t>
  </si>
  <si>
    <t>3. ÚDAJE O POISTENOM / POISTENÍ</t>
  </si>
  <si>
    <t>Zamestnanie - pracovná činnosť poisteného</t>
  </si>
  <si>
    <t>riziková skupina pre zamestnanie</t>
  </si>
  <si>
    <t>riziková skupina pre šport</t>
  </si>
  <si>
    <t>Záujmová / pravidelná športová. činnosť poisteného</t>
  </si>
  <si>
    <t>Adresa</t>
  </si>
  <si>
    <t>Štátne 
občianstvo</t>
  </si>
  <si>
    <t>kontrola RČ</t>
  </si>
  <si>
    <t>Meno a priezvisko
(prípadne vzťah)</t>
  </si>
  <si>
    <t>Pohlavie</t>
  </si>
  <si>
    <t>firma, s.r.o</t>
  </si>
  <si>
    <t>Záujmová / pravidelná športová. činnosť  vykonávaná</t>
  </si>
  <si>
    <t xml:space="preserve">Generátor pre číslo PZ nájdete </t>
  </si>
  <si>
    <t>PRE ÚRAZOVÉ POISTENIE - UNION ISTOTA</t>
  </si>
  <si>
    <t>Ak áno, uveďte jeho osobné údaje len v tejto časti:</t>
  </si>
  <si>
    <t>uzavierajú v zmysle § 788 a nasl. Občianskeho zákonníka č. 40/1964 Zb. v znení neskorších predpisov túto zmluvu o poistení.</t>
  </si>
  <si>
    <t>* vyplniť v prípade, ak je iné ako u poistníka</t>
  </si>
  <si>
    <t xml:space="preserve">Poistná doba  </t>
  </si>
  <si>
    <t xml:space="preserve"> rokov</t>
  </si>
  <si>
    <t xml:space="preserve">Koniec poistenia  </t>
  </si>
  <si>
    <t>5.POISTNÉ OBDOBIA</t>
  </si>
  <si>
    <t xml:space="preserve">Bežné poistné bude platené v </t>
  </si>
  <si>
    <t xml:space="preserve"> ročných </t>
  </si>
  <si>
    <t xml:space="preserve"> polročných </t>
  </si>
  <si>
    <t xml:space="preserve"> poistných obdobiach </t>
  </si>
  <si>
    <t xml:space="preserve"> štvrťročných</t>
  </si>
  <si>
    <t xml:space="preserve"> mesačných</t>
  </si>
  <si>
    <t>6. POISTNÉ KRYTIE</t>
  </si>
  <si>
    <t xml:space="preserve">  POISTNÉ KRYTIE PRE POISTENÉHO</t>
  </si>
  <si>
    <t xml:space="preserve">    poistné sumy</t>
  </si>
  <si>
    <t xml:space="preserve">poistné za poistné obdobie </t>
  </si>
  <si>
    <t xml:space="preserve"> Trvalé následky úrazu</t>
  </si>
  <si>
    <t xml:space="preserve"> bez progresie</t>
  </si>
  <si>
    <t xml:space="preserve"> Smrť v dôsledku úrazu</t>
  </si>
  <si>
    <t xml:space="preserve"> Denné odškodné v prípade hospitalizácie po úraze</t>
  </si>
  <si>
    <t xml:space="preserve"> Čas nevyhnutného liečenia úrazu</t>
  </si>
  <si>
    <t xml:space="preserve"> Denná náhrada v prípade práceneschopnosti po úraze</t>
  </si>
  <si>
    <t xml:space="preserve"> Maximálna ochrana</t>
  </si>
  <si>
    <t xml:space="preserve"> Kompenzácia za chirurgický zákrok</t>
  </si>
  <si>
    <t xml:space="preserve">Výplata bolestného v prípade hospitalizácie po úraze sa </t>
  </si>
  <si>
    <t xml:space="preserve"> dojednáva</t>
  </si>
  <si>
    <t xml:space="preserve"> nedojednáva</t>
  </si>
  <si>
    <t xml:space="preserve">  POISTNÉ KRYTIE PRE POISTENÉ DETI - BALÍKY</t>
  </si>
  <si>
    <t xml:space="preserve"> BRONZ </t>
  </si>
  <si>
    <t xml:space="preserve"> STRIEBRO</t>
  </si>
  <si>
    <t xml:space="preserve"> ZLATO</t>
  </si>
  <si>
    <t xml:space="preserve">  (pre všetky deti sa dojednáva rovnaké poistné krytie)</t>
  </si>
  <si>
    <t xml:space="preserve"> poistné sumy</t>
  </si>
  <si>
    <t>Smrť v dôsledku úrazu</t>
  </si>
  <si>
    <t xml:space="preserve">1. POISTNÍK       </t>
  </si>
  <si>
    <t xml:space="preserve"> Je poistník súčasne poistenou osobou? </t>
  </si>
  <si>
    <r>
      <t xml:space="preserve">Titul </t>
    </r>
    <r>
      <rPr>
        <vertAlign val="superscript"/>
        <sz val="10.5"/>
        <color theme="1"/>
        <rFont val="Arial Narrow"/>
        <family val="2"/>
        <charset val="238"/>
      </rPr>
      <t>1)</t>
    </r>
  </si>
  <si>
    <r>
      <t xml:space="preserve">Číslo ID </t>
    </r>
    <r>
      <rPr>
        <vertAlign val="superscript"/>
        <sz val="10.5"/>
        <color theme="1"/>
        <rFont val="Arial Narrow"/>
        <family val="2"/>
        <charset val="238"/>
      </rPr>
      <t>2)</t>
    </r>
  </si>
  <si>
    <r>
      <t xml:space="preserve">Obec </t>
    </r>
    <r>
      <rPr>
        <vertAlign val="superscript"/>
        <sz val="10.5"/>
        <color theme="1"/>
        <rFont val="Arial Narrow"/>
        <family val="2"/>
        <charset val="238"/>
      </rPr>
      <t>1)</t>
    </r>
  </si>
  <si>
    <r>
      <t xml:space="preserve">PSČ </t>
    </r>
    <r>
      <rPr>
        <vertAlign val="superscript"/>
        <sz val="10.5"/>
        <color theme="1"/>
        <rFont val="Arial Narrow"/>
        <family val="2"/>
        <charset val="238"/>
      </rPr>
      <t>1)</t>
    </r>
  </si>
  <si>
    <r>
      <t xml:space="preserve">Telefón </t>
    </r>
    <r>
      <rPr>
        <vertAlign val="superscript"/>
        <sz val="10.5"/>
        <color theme="1"/>
        <rFont val="Arial Narrow"/>
        <family val="2"/>
        <charset val="238"/>
      </rPr>
      <t>1)</t>
    </r>
  </si>
  <si>
    <r>
      <t>Rodinný stav</t>
    </r>
    <r>
      <rPr>
        <vertAlign val="superscript"/>
        <sz val="10.5"/>
        <color theme="1"/>
        <rFont val="Arial Narrow"/>
        <family val="2"/>
        <charset val="238"/>
      </rPr>
      <t xml:space="preserve"> 1)</t>
    </r>
  </si>
  <si>
    <r>
      <t xml:space="preserve">E-mail </t>
    </r>
    <r>
      <rPr>
        <vertAlign val="superscript"/>
        <sz val="10.5"/>
        <color theme="1"/>
        <rFont val="Arial Narrow"/>
        <family val="2"/>
        <charset val="238"/>
      </rPr>
      <t>1)</t>
    </r>
  </si>
  <si>
    <r>
      <t xml:space="preserve">Rodinný stav </t>
    </r>
    <r>
      <rPr>
        <vertAlign val="superscript"/>
        <sz val="10.5"/>
        <color theme="1"/>
        <rFont val="Arial Narrow"/>
        <family val="2"/>
        <charset val="238"/>
      </rPr>
      <t>1)</t>
    </r>
  </si>
  <si>
    <t>Meno a Priezvisko</t>
  </si>
  <si>
    <t xml:space="preserve">Začiatok poistenia  </t>
  </si>
  <si>
    <t>Druh avíza</t>
  </si>
  <si>
    <t xml:space="preserve"> poštová poukážka</t>
  </si>
  <si>
    <t xml:space="preserve"> bez avíza (trvalý príkaz)</t>
  </si>
  <si>
    <t>elektronické avízo na e-mail:</t>
  </si>
  <si>
    <t>4. POISTNÉ OBDOBIA</t>
  </si>
  <si>
    <t>Poistné obdobie</t>
  </si>
  <si>
    <t>druh avíza</t>
  </si>
  <si>
    <t>Poistné za poistné obdobie za poisteného</t>
  </si>
  <si>
    <t>Poistné za poistné obdobie za</t>
  </si>
  <si>
    <t>PREDPÍSANÉ POISTNÉ SPOLU**</t>
  </si>
  <si>
    <t>** Číslo účtu poisťovateľa na úhradu poistného je 6600547090/1111, IBAN: SK59 1111 0000 0066 0054 7090, SWIFT/BIC: UNCRSKBX vedený v UniCredit Bank Czech Republic and Slovakia, a.s., pobočka zahraničnej banky, konštantný symbol 3558, variabilným symbolom je číslo poistnej zmluvy.</t>
  </si>
  <si>
    <t>ZĽAVA PRE KLIENTOV UZP***</t>
  </si>
  <si>
    <t>Číslo preukazu poistenca/prihlášky</t>
  </si>
  <si>
    <t>poistený:</t>
  </si>
  <si>
    <t>Predpísané poistné po zľave</t>
  </si>
  <si>
    <t>OPRÁVNENÉ OSOBY</t>
  </si>
  <si>
    <t>V prípade smrti poisteného má právo na vyplatenie poistného plnenia:</t>
  </si>
  <si>
    <t>Meno a priezvisko oprávnenej osoby alebo vzťah k poistenému</t>
  </si>
  <si>
    <t>Podiel na plnení</t>
  </si>
  <si>
    <t xml:space="preserve">  %</t>
  </si>
  <si>
    <t>DOTAZNÍK O ZDRAVOTNOM STAVE POISTENÉHO</t>
  </si>
  <si>
    <t>1.</t>
  </si>
  <si>
    <t>A.</t>
  </si>
  <si>
    <t>F.</t>
  </si>
  <si>
    <t>B.</t>
  </si>
  <si>
    <t>G.</t>
  </si>
  <si>
    <t>Je Vám v súčasnosti priznaná invalidita?</t>
  </si>
  <si>
    <t>C.</t>
  </si>
  <si>
    <t>Ste odkázaný na opateru inej osoby?</t>
  </si>
  <si>
    <t>D.</t>
  </si>
  <si>
    <t>E.</t>
  </si>
  <si>
    <t>2.</t>
  </si>
  <si>
    <t xml:space="preserve">Máte v súčasnej dobe alebo ste mali v minulosti nejaké zdravotné ťažkosti, </t>
  </si>
  <si>
    <t xml:space="preserve"> Ak áno, odkedy a prečo ?</t>
  </si>
  <si>
    <t>3.</t>
  </si>
  <si>
    <t>pravák</t>
  </si>
  <si>
    <t>ľavák</t>
  </si>
  <si>
    <t>4.</t>
  </si>
  <si>
    <t>Uveďte kedy, o aký úraz išlo a popíšte ťažkosti:</t>
  </si>
  <si>
    <t>Dátum úrazu:</t>
  </si>
  <si>
    <t>Aký úraz:</t>
  </si>
  <si>
    <t>Pretrvávajúce ťažkosti alebo následky úrazu:</t>
  </si>
  <si>
    <t>Ak áno, uveďte o aký úraz išlo a kedy sa stal:</t>
  </si>
  <si>
    <t>5.</t>
  </si>
  <si>
    <t>6.</t>
  </si>
  <si>
    <t xml:space="preserve">Aký druh športu vykonávate a na akej úrovni </t>
  </si>
  <si>
    <t xml:space="preserve">áno </t>
  </si>
  <si>
    <t>7.</t>
  </si>
  <si>
    <t>Uveďte meno a adresu Vášho ošetrujúceho lekára:</t>
  </si>
  <si>
    <t>DOTAZNÍK O ZDRAVOTNOM STAVE POISTENÝCH DETÍ</t>
  </si>
  <si>
    <t>8.</t>
  </si>
  <si>
    <t xml:space="preserve">  D1</t>
  </si>
  <si>
    <t xml:space="preserve">  D2</t>
  </si>
  <si>
    <t xml:space="preserve">  D3</t>
  </si>
  <si>
    <t>9.</t>
  </si>
  <si>
    <t>Dieťa:</t>
  </si>
  <si>
    <t>Kedy (od - do):</t>
  </si>
  <si>
    <t>Choroba, poruchy, ťažkosti:</t>
  </si>
  <si>
    <t>Súčasný stav:</t>
  </si>
  <si>
    <t>10.</t>
  </si>
  <si>
    <t>Uveďte ktoré dieťa, kedy, o aký úraz išlo a popíšte ťažkosti:</t>
  </si>
  <si>
    <t>Poistná zmluva je uzavretá okamihom, keď je podpísaná oboma zmluvnými stranami. V zmysle § 800 ods. 2 Občianskeho zákonníka sa dojednáva, že poistenie môže vypovedať poistník alebo poisťovateľ do dvoch mesiacov po uzavretí poistnej zmluvy. Výpovedná lehota je osemdenná a jej uplynutím poistenie zanikne.</t>
  </si>
  <si>
    <t>Výška zľavy</t>
  </si>
  <si>
    <t>Ak nie je oprávnená osoba určená alebo ak nenadobudne právo na plnenie, právo na plnenie má osoba určená podľa § 817 ods. 2 a 3 Občianskeho zákonníka.
Oprávnená osoba v prípade smrti poisteného dieťaťa je určená podľa § 817 ods. 2 a 3 Občianskeho zákonníka.</t>
  </si>
  <si>
    <r>
      <t xml:space="preserve">Utrpeli ste niekedy v minulosti úraz, po ktorom u Vás pretrvávajú nejaké zdravotné ťažkosti alebo následky </t>
    </r>
    <r>
      <rPr>
        <sz val="10.5"/>
        <color theme="1"/>
        <rFont val="Arial Narrow"/>
        <family val="2"/>
        <charset val="238"/>
      </rPr>
      <t>(napr. poškodenie alebo</t>
    </r>
  </si>
  <si>
    <r>
      <t>Adresa na korešpondenciu - ulica, číslo</t>
    </r>
    <r>
      <rPr>
        <vertAlign val="superscript"/>
        <sz val="10.5"/>
        <color theme="1"/>
        <rFont val="Arial Narrow"/>
        <family val="2"/>
        <charset val="238"/>
      </rPr>
      <t xml:space="preserve"> 3)</t>
    </r>
  </si>
  <si>
    <t xml:space="preserve">Trpí poistené dieťa epilepsiou, psychickými poruchami, HIV pozitivitou alebo závislosťou na návykových látkach, je odkázané na </t>
  </si>
  <si>
    <t xml:space="preserve">Majú v súčasnej dobe alebo mali v minulosti poistené deti nejaké zdravotné ťažkosti, prípadne vyšetrujú ich zdravotný stav alebo </t>
  </si>
  <si>
    <r>
      <t>Utrpelo poistené dieťa niekedy v minulosti úraz, po ktorom u neho pretrvávajú nejaké zdravotné ťažkosti alebo následky</t>
    </r>
    <r>
      <rPr>
        <sz val="10.5"/>
        <color theme="1"/>
        <rFont val="Arial Narrow"/>
        <family val="2"/>
        <charset val="238"/>
      </rPr>
      <t xml:space="preserve"> (napr.  </t>
    </r>
  </si>
  <si>
    <t>Príjmy poisťovateľa, poisteného a oprávnených osôb z poistnej zmluvy podliehajú zdaneniu v zmysle všeobecne záväzných právnych predpisov platných na území Slovenskej republiky. Zákon č. 595/2003 Z.z. o dani z príjmov v znení neskorších predpisov ustanovuje, ktoré plnenia z poistenia sú oslobodené od dane z príjmov, resp. iné daňové náležitosti týkajúce sa poistenia.</t>
  </si>
  <si>
    <t>Pre právne pomery vyplývajúce z uzavretej poistnej zmluvy platí právny poriadok SR.</t>
  </si>
  <si>
    <t>Poistený ani poistník sa nepodieľajú na výnosoch poisťovateľa.</t>
  </si>
  <si>
    <t>Ak nie je v poistnej zmluve  určená oprávnená osoba alebo ak nenadobudne právo na plnenie, právo na plnenie má osoba určená podľa § 817 ods. 2 a 3 Občianskeho zákonníka.</t>
  </si>
  <si>
    <t>Oprávnená osoba v prípade smrti poisteného dieťaťa je určená podľa § 817 ods. 2 a 3 Občianskeho zákonníka.</t>
  </si>
  <si>
    <t>ZVLÁŠTNE DOJEDNANIA</t>
  </si>
  <si>
    <t>V prípade, že čakacia lehota je ukončená pred dňom začiatku poistenia, poisťovateľ poskytuje poistné krytie z úrazového poistenia až do dňa stanoveného v poistnej zmluve ako začiatok poistenia. Deň poukázania prvého poistného je taký deň, v ktorom bol daný príkaz na úhradu poistného v niektorom peňažnom ústave alebo kedy bola suma poistného poukázaná poštovou poukážkou prostredníctvom poštového podniku.</t>
  </si>
  <si>
    <t>PODMIENKY POSKYTNUTIA ZĽAVY PRE KLIENTOV UNION ZDRAVOTNEJ POISŤOVNE, a. s.</t>
  </si>
  <si>
    <t>Poistník má nárok na zľavu na poistnom vo výške 10% z predpísaného poistného, ak sú splnené tieto podmienky: a) aa) poistený v čase uzatvárania poistnej zmluvy bol držiteľom preukazu poistenca Union zdravotnej poisťovne, a.s., IČO: 36284831 (ďalej len ,,UZP") alebo v čase uzatvárania poistnej zmluvy mal podpísanú prihlášku poistenca do UZP, ak táto prihláška bola doručená na adresu sídla UZP najneskôr v termíne do 30.9. kalendárneho roka, v ktorom došlo k uzavretiu poistnej zmluvy a zároveň poistený uvedenú prihlášku nezobral späť, alebo ab) ak nie je v poistnej zmluve dohodnuté poistenie pre poisteného, aspoň jedno poistené dieťa v čase uzatvárania poistnej zmluvy bolo držiteľom preukazu poistenca UZP alebo v čase uzatvárania poistnej zmluvy malo podpísanú prihlášku poistenca do UZP, ak táto prihláška bola doručená na adresu sídla UZP najneskôr v termíne do 30.9. kalendárneho roka, v ktorom došlo k uzavretiu poistnej zmluvy a zároveň uvedená prihláška nebola zobraná späť a súčasne b) poistník alebo poistený (zákonný zástupca poisteného dieťaťa) predložil pri podpise tejto poistnej zmluvy preukaz poistenca UZP na meno poisteného (alebo poisteného dieťaťa) alebo vyplnenú a oprávnenými osobami podpísanú prihlášku poistenca do UZP na meno poisteného (alebo poisteného dieťaťa).</t>
  </si>
  <si>
    <t>Zmluvné strany sa dohodli, že poistník nemá nárok na zľavu na poistnom a vráti poisťovateľovi sumu vo výške poskytnutej zľavy, ak a) prihláška poistenca do UZP nebola doručená na adresu sídla UZP do 30.9. kalendárneho roka, v ktorom došlo k uzavretiu poistnej zmluvy, alebo b) prihláška poistenca nebola potvrdená UZP v zmysle zákona č. 580/2004 Z.z. v znení neskorších zmien a doplnkov.</t>
  </si>
  <si>
    <t>Nárok poistníka na zľavu na poistnom zaniká dňom, v ktorom bol ukončený poistný vzťah poistenej osoby s UZP, a poistník je povinný platiť poistné v plnej výške (bez zľavy) od najbližšieho poistného obdobia po zániku tohto vzťahu.</t>
  </si>
  <si>
    <t>PODMIENKY POSKYTNUTIA BENEFITU ZA BEZŠKODOVÝ PRIEBEH</t>
  </si>
  <si>
    <t>Poistník má nárok na vrátenie 10% zo zaplateného poistného, po uplynutí poistnej doby (ďalej aj ,,benefit"), ak sú súčasne splnené tieto podmienky: a) poistná zmluva je uzavretá na poistnú dobu 10 rokov a viac, b) poistná zmluva je platná do konca poistnej doby, ktorá je dohodnutá v poistnej zmluve, c) poistná zmluva zanikne ku koncu poistnej doby bez nedoplatku na poistnom, d) poisťovateľ neposkytne žiadne poistné plnenie z tejto poistnej zmluvy.</t>
  </si>
  <si>
    <t>Zmluvné strany sa dohodli, že v prípade, ak bude poistníkovi vyplatený benefit a poisťovateľovi vznikne povinnosť plniť z tejto poistnej zmluvy, poisťovateľ má právo započítaním znížiť poistné plnenie o výšku benefitu. V prípade, ak bude poistné plnenie nižšie ako výška benefitu, má poistník povinnosť doplatiť poisťovateľovi vzniknutý rozdiel v lehote do 15 dní od doručenia výzvy poisťovateľa.</t>
  </si>
  <si>
    <t xml:space="preserve">VYHLÁSENIE A SPLNOMOCNENIE POISTENÉHO A ZÁKONNÉHO ZÁSTUPCU POISTENÝCH DETÍ </t>
  </si>
  <si>
    <t>podpis poisteného/
zákonného zástupcu poisteného</t>
  </si>
  <si>
    <t>VYHLÁSENIE POISTNÍKA</t>
  </si>
  <si>
    <t>miesto a dátum uzavretia poistnej zmluvy</t>
  </si>
  <si>
    <t>podpis poistníka</t>
  </si>
  <si>
    <t>za Union poisťovňu, a.s.</t>
  </si>
  <si>
    <t xml:space="preserve">miesto a dátum </t>
  </si>
  <si>
    <t xml:space="preserve"> áno, súhlasím</t>
  </si>
  <si>
    <t xml:space="preserve"> nie, nesúhlasím</t>
  </si>
  <si>
    <t>Dátum konca poistenia pre jednotlivé deti je najneskôr deň predchádzajúci výročnému dňu v kalendárnom roku, v ktorom poistené dieťa dosiahne vek 15 rokov.</t>
  </si>
  <si>
    <t xml:space="preserve">Pre korektné fungovanie výpočtových programov v MS Office Excel 2007 treba mať povolené makrá a ovládacie prvky. </t>
  </si>
  <si>
    <t>Slovenská verzia:</t>
  </si>
  <si>
    <t>Anglická verzia:</t>
  </si>
  <si>
    <t xml:space="preserve"> V ľavom hornom rohu „tlačidlo Office“ -&gt; kliknúť na tlačidlo v dolnej lište otvoreného menu  „Možnosti programu Excel“</t>
  </si>
  <si>
    <t>V ľavom hornom rohu „tlačidlo Office“ -&gt; kliknúť na tlačidlo v dolnej lište otvoreného menu  „Excel Options“</t>
  </si>
  <si>
    <t>Vybrať vľavo v menu  „Centrum dôveryhodnosti“ -&gt; kliknúť na tlačidlo vpravo dole  „Nastavenie centra dôveryhodnosti“</t>
  </si>
  <si>
    <t>Vybrať vľavo v menu  „Trust Center“ -&gt; kliknúť na tlačidlo vpravo dole  „Trust Settings Center</t>
  </si>
  <si>
    <t>V okne, ktoré sa objaví, vybrať vľavo v menu „Nastavenie makra“ a zakliknúť štvrtú položku „Povoliť všetky makrá...“ zo zoznamu možností, ktoré sa objavia a potvrdiť tlačidlom „OK“.</t>
  </si>
  <si>
    <t>V okne, ktoré sa objaví, vybrať vľavo v menu „Macro Settings“ a zakliknúť štvrtú položku „Enable all macros...“  zo zoznamu možností, ktoré sa objavia a potvrdiť tlačidlom „OK</t>
  </si>
  <si>
    <t>V rovnakom okne „Centrum dôveryhodnosti“ ešte vybrať vľavo v menu „Nastavenie ActiveX“ a zakliknúť štvrtú položku „Povoliť všetky ovládacie prvky...“ zo zoznamu možností, ktoré sa objavia a potvrdiť tlačidlom „OK“.</t>
  </si>
  <si>
    <t>V rovnakom okne „Centrum dôveryhodnosti“ ešte vybrať vľavo v menu „ActiveX Settings“ a zakliknúť štvrtú položku „Enable all controls...“ zo zoznamu možností, ktoré sa objavia a potvrdiť tlačidlom „OK“.</t>
  </si>
  <si>
    <t xml:space="preserve">Aby sa takéto nové nastavenie uchovalo, je potrebné zatvoriť Excel a potom ho opätovne otvoriť. </t>
  </si>
  <si>
    <t>Vstupny vek deti</t>
  </si>
  <si>
    <t>poistná suma</t>
  </si>
  <si>
    <t>Ste v súčasnosti práceneschopný?</t>
  </si>
  <si>
    <t>Ste profesionálny športovec?</t>
  </si>
  <si>
    <t>Trpíte psychickými poruchami alebo epilepsiou?</t>
  </si>
  <si>
    <t>Ste závislý na alkohole alebo drogách?</t>
  </si>
  <si>
    <t>Ste HIV pozitívny?</t>
  </si>
  <si>
    <t>prípadne vyšetrujú Váš zdravotný stav alebo ste pod lekárskym dozorom?</t>
  </si>
  <si>
    <t>Ste pravák alebo ľavák?</t>
  </si>
  <si>
    <t>bolesť kĺbov, svalov, kostí, chrbtice alebo iných orgánov vrátane porušenia ich funkčností?</t>
  </si>
  <si>
    <t>Utrpeli ste v posledných 5 rokoch nejaký úraz?</t>
  </si>
  <si>
    <r>
      <t>(rekreačne alebo ste registrovaný v odddieli či klube)</t>
    </r>
    <r>
      <rPr>
        <b/>
        <sz val="10.5"/>
        <color theme="1"/>
        <rFont val="Arial Narrow"/>
        <family val="2"/>
        <charset val="238"/>
      </rPr>
      <t>?</t>
    </r>
  </si>
  <si>
    <t xml:space="preserve">Zúčastňujete sa súťaží? </t>
  </si>
  <si>
    <t>opateru inej osoby?</t>
  </si>
  <si>
    <t>sú pod lekárskym dozorom?</t>
  </si>
  <si>
    <r>
      <t>poškodenie alebo bolesti kĺbov, svalov, kostí, chrbtice alebo iných orgánov vrátane porušenia ich funkčnosti)</t>
    </r>
    <r>
      <rPr>
        <b/>
        <sz val="10.5"/>
        <color theme="1"/>
        <rFont val="Arial Narrow"/>
        <family val="2"/>
        <charset val="238"/>
      </rPr>
      <t>?</t>
    </r>
  </si>
  <si>
    <t>Číslo poistnej zmluvy:</t>
  </si>
  <si>
    <t>Meno a priezvisko 
poisteného dieťaťa</t>
  </si>
  <si>
    <r>
      <rPr>
        <vertAlign val="superscript"/>
        <sz val="10.5"/>
        <rFont val="Arial Narrow"/>
        <family val="2"/>
        <charset val="238"/>
      </rPr>
      <t>1)</t>
    </r>
    <r>
      <rPr>
        <sz val="10.5"/>
        <rFont val="Arial Narrow"/>
        <family val="2"/>
        <charset val="238"/>
      </rPr>
      <t xml:space="preserve">údaj nie je povinné vyplniť   </t>
    </r>
    <r>
      <rPr>
        <vertAlign val="superscript"/>
        <sz val="10.5"/>
        <rFont val="Arial Narrow"/>
        <family val="2"/>
        <charset val="238"/>
      </rPr>
      <t>2)</t>
    </r>
    <r>
      <rPr>
        <sz val="10.5"/>
        <rFont val="Arial Narrow"/>
        <family val="2"/>
        <charset val="238"/>
      </rPr>
      <t xml:space="preserve">identifikačný doklad (doklad totožnosti)  </t>
    </r>
    <r>
      <rPr>
        <vertAlign val="superscript"/>
        <sz val="10.5"/>
        <rFont val="Arial Narrow"/>
        <family val="2"/>
        <charset val="238"/>
      </rPr>
      <t>3)</t>
    </r>
    <r>
      <rPr>
        <sz val="10.5"/>
        <rFont val="Arial Narrow"/>
        <family val="2"/>
        <charset val="238"/>
      </rPr>
      <t>ak je iná ako trvalé bydlisko</t>
    </r>
  </si>
  <si>
    <t>Kontaktný telefón</t>
  </si>
  <si>
    <r>
      <t xml:space="preserve">*** podmienky poskytnutia zľavy sú uvedené na </t>
    </r>
    <r>
      <rPr>
        <sz val="10.5"/>
        <rFont val="Arial Narrow"/>
        <family val="2"/>
        <charset val="238"/>
      </rPr>
      <t xml:space="preserve"> štvrtej strane tejto poistnej zmluvy</t>
    </r>
  </si>
  <si>
    <t>Ak je Vám priznaná invalidita, odkedy, prečo a aké máte percento poklesu schopnosti vykonávať zárobkovú činnosť?</t>
  </si>
  <si>
    <t>zatiaľ neurčujem</t>
  </si>
  <si>
    <r>
      <t xml:space="preserve">Číslo účtu / kód banky </t>
    </r>
    <r>
      <rPr>
        <vertAlign val="superscript"/>
        <sz val="10.5"/>
        <color theme="1"/>
        <rFont val="Arial Narrow"/>
        <family val="2"/>
        <charset val="238"/>
      </rPr>
      <t>1)</t>
    </r>
  </si>
  <si>
    <t xml:space="preserve">E-mail </t>
  </si>
  <si>
    <t>manžel</t>
  </si>
  <si>
    <t>manželka</t>
  </si>
  <si>
    <t>deti</t>
  </si>
  <si>
    <t>syn</t>
  </si>
  <si>
    <t>dcéra</t>
  </si>
  <si>
    <t>rodičia</t>
  </si>
  <si>
    <t>otec</t>
  </si>
  <si>
    <t>matka</t>
  </si>
  <si>
    <t>súrodenci</t>
  </si>
  <si>
    <t>brat</t>
  </si>
  <si>
    <t>sestra</t>
  </si>
  <si>
    <r>
      <t xml:space="preserve">Číslo ID </t>
    </r>
    <r>
      <rPr>
        <b/>
        <vertAlign val="superscript"/>
        <sz val="10"/>
        <rFont val="Arial"/>
        <family val="2"/>
        <charset val="238"/>
      </rPr>
      <t>1)</t>
    </r>
  </si>
  <si>
    <t>5. POISTENÉ DETI</t>
  </si>
  <si>
    <t>6. OPRÁVNENÉ OSOBY</t>
  </si>
  <si>
    <t>V prípade smrti poistníka, ktorý je zároveň poisteným, poistenie zaniká. V prípade smrti poistníka, ktorý nie je zároveň poisteným a poisteným je dospelá osoba, prechádzajú všetky práva a povinnosti poistníka vyplývajúce z poistenia na poisteného. V prípade smrti poistníka, ktorý nie je zároveň poisteným a poistené sú len deti, poistenie zaniká. V prípade smrti poistníka, ktorý nie je zároveň poisteným a poisteným je dospelá osoba a poistené sú aj deti, prechádzajú všetky práva a povinnosti poistníka vyplývajúce z poistenia na poisteného. Poistenie zanikne aj smrťou všetkých poistených osôb. Pre účely tohto dojednania sa za dospelú osobu považuje každá osoba, ktorá v kalendárnom roku začiatku poistenia dovŕši 15 a viac rokov.
Okrem vylúčení z poistného plnenia uvedených v článku 15 Všeobecných poistných podmienok pre poistenie úrazu - Union Istota, poisťovateľ neposkytne poistné plnenie za úraz poisteného, s výnimkou smrti poisteného v dôsledku úrazu, ak k úrazu došlo počas "čakacej lehoty pre úrazové poistenie". Čakacia lehota pre úrazové poistenie začína plynúť v deň uzavretia zmluvy a končí 24.00 hodinou dňa, v ktorom bolo poukázané prvé poistné, čakacia lehota trvá najdlhšie 7 dní od uzavretia poistenia.</t>
  </si>
  <si>
    <t>adresa sprostredkovateľa</t>
  </si>
  <si>
    <t>meno a priezvisko sprostredkovateľa/
zamestnanca poisťovateľa</t>
  </si>
  <si>
    <r>
      <rPr>
        <b/>
        <sz val="10"/>
        <rFont val="Arial"/>
        <family val="2"/>
        <charset val="238"/>
      </rPr>
      <t>ROK</t>
    </r>
    <r>
      <rPr>
        <sz val="10"/>
        <rFont val="Arial"/>
        <family val="2"/>
        <charset val="238"/>
      </rPr>
      <t xml:space="preserve"> narodenia poisteného</t>
    </r>
  </si>
  <si>
    <t>STARE</t>
  </si>
  <si>
    <t>ÁNO</t>
  </si>
  <si>
    <t>Číslo preukazu poistenca/prihlášky - poistený</t>
  </si>
  <si>
    <t>Číslo preukazu poistenca/prihlášky - poistené dieťa</t>
  </si>
  <si>
    <t>podpis zákonného zástupcu 
poistených detí</t>
  </si>
  <si>
    <t>n</t>
  </si>
  <si>
    <t>Union poisťovňa, a.s., Karadžičova 10, 813 60 Bratislava, SR, IČO: 31322051, DIČ: 2020800353, zapísaná v Obchodnom registri Okresného súdu Bratislava I, odd. Sa, vl. Č. 383/B (ďalej aj „poisťovateľ")   a</t>
  </si>
  <si>
    <t>SÚHLASÍM, ABY MI UNION POISŤOVŇA, A.S. AKO AJ UNION ZDRAVOTNÁ POISŤOVŇA, A.S., ZASIELALI NOVINKY A INFORMÁCIE O VÝHODÁCH,  ZĽAVÁCH,  PRODUKTOCH  A SLUŽBÁCH</t>
  </si>
  <si>
    <t>Udelením tohto súhlasu súhlasíte s tým, aby Vaše osobné údaje v rozsahu meno, priezvisko, titul, adresa trvalého pobytu, kontaktná adresa, telefónne číslo a e-mailová adresa boli spracúvané spoločnosťami Union poisťovňa, a.s., Union zdravotná poisťovňa, a.s. a aj ich prípadnými dcérskymi spoločnosťami, na účely marketingových aktivít. Súčasne súhlasíte s použitím Vášho telefónneho čísla a e-mailovej adresy na zasielanie marketingových správ formou elektronickej pošty alebo formou služieb krátkych správ. Súhlas je poskytnutý na dobu počas trvania poistnej zmluvy a na dobu 5 rokov po ukončení platnosti poistnej zmluvy. Poskytnutie osobných údajov na uvedené účely nie je povinné. Tento súhlas je možné kedykoľvek písomne odvolať, pričom odvolanie nemá spätné účinky.</t>
  </si>
  <si>
    <t>Som si vedomý/á, že v zmysle zákona o poisťovníctve poisťovateľ môže spracúvať moje osobné údaje a osobné údaje poistených detí, vrátane informácií o ich zdravotnom stave,  na účel vymedzený v Základných informáciách o ochrane osobných údajov pre dotknutú osobu.</t>
  </si>
  <si>
    <t>Týmto vyhlasujem, že som riadne porozumel/a všetkým otázkam týkajúcim sa môjho zdravotného stavu a zdravotného stavu poistených detí, a že všetky moje odpovede na tieto otázky sú pravdivé a úplné a neboli zatajené alebo vynechané žiadne závažné okolnosti alebo informácie. Som si vedomý možných dôsledkov v prípade zamlčania závažných okolností alebo nesprávnych informácií o mojom zdravotnom stave a o zdravotnom stave poistených detí (odstúpenie od zmluvy, odmietnutie alebo zníženie poistného plnenia). Všetkým otázkam som riadne porozumel a zodpovedal ich pravdivo a úplne.</t>
  </si>
  <si>
    <t>miesto a dátum vyplnenia dotazníka 
a vyhlásení</t>
  </si>
  <si>
    <t>SÚHLAS SO SPRACÚVANÍM OSOBNÝCH ÚDAJOV NA ÚČELY MARKETINGOVÝCH AKTIVÍT</t>
  </si>
  <si>
    <t>Za uzavretie tejto poistnej zmluvy vznikne zamestnancovi poisťovateľa nárok na peňažnú odmenu, ktorá je zamestnancovi vyplácaná poisťovateľom jednorazovo alebo mesačne počas prvého roka platnosti poistnej zmluvy.</t>
  </si>
  <si>
    <t>Poistné zahŕňa daň z poistenia vo výške 8% v zmysle zákona č. 213/2018 Z.z. o dani z poistenia a o zmene a doplnení niektorých zákonov platného od 1.1.2019.</t>
  </si>
  <si>
    <r>
      <t xml:space="preserve">Podiel na plnení v %
</t>
    </r>
    <r>
      <rPr>
        <b/>
        <sz val="11"/>
        <color theme="0"/>
        <rFont val="Arial"/>
        <family val="2"/>
        <charset val="238"/>
      </rPr>
      <t>(vyplniť iba číslo bez %!)</t>
    </r>
  </si>
  <si>
    <t xml:space="preserve">Individuálne úrazové poistenie                                                                                UNION ISTOTA </t>
  </si>
  <si>
    <r>
      <rPr>
        <sz val="10"/>
        <color rgb="FF0000FF"/>
        <rFont val="Arial"/>
        <family val="2"/>
        <charset val="238"/>
      </rPr>
      <t xml:space="preserve">na sieťovom disku G: </t>
    </r>
    <r>
      <rPr>
        <b/>
        <sz val="10"/>
        <color rgb="FF0000FF"/>
        <rFont val="Arial"/>
        <family val="2"/>
        <charset val="238"/>
      </rPr>
      <t xml:space="preserve">  G:\VZORY\VzoryUP\1xx\01_Poistna_zmluva\Union Istota\Ciselny_generator</t>
    </r>
  </si>
  <si>
    <t>Splnomocňujem poisťovateľom oslovených lekárov a zdravotnícke zariadenia na poskytnutie lekárskych správ, výpisov zo zdravotnej dokumentácie alebo na ich zapožičanie, čím ich zároveň zbavujem povinnosti mlčanlivosti voči poisťovateľovi. Pre účely posúdenia poistných rizík trvalé následky úrazu, trvalé následky úrazu s progresiou 450 a maximálna ochrana a pre účely likvidácie poistnej udalosti spojenej s týmito rizikami splnomocňujem poisťovateľa na vyžiadanie Lekárskej správy od Sociálnej poisťovne.
Toto vyhlásenie nebolo urobené pod nátlakom ani v časovej tiesni alebo za iných nevýhodných podmienok, ktoré by mohli spôsobiť nesprávne alebo neúplné poskytnutie informácií, čo potvrdzujem svojim podpisom. Podpis poisteného a zákonného zástupcu poistených detí na tejto poistnej zmluve považujú zmluvné strany za podpisový vzor.</t>
  </si>
  <si>
    <t xml:space="preserve"> 4/5</t>
  </si>
  <si>
    <t xml:space="preserve"> 5/5</t>
  </si>
  <si>
    <t xml:space="preserve"> 3/5</t>
  </si>
  <si>
    <t xml:space="preserve"> 2/5</t>
  </si>
  <si>
    <r>
      <t xml:space="preserve"> </t>
    </r>
    <r>
      <rPr>
        <sz val="12"/>
        <rFont val="Times New Roman"/>
        <family val="1"/>
        <charset val="238"/>
      </rPr>
      <t>1/5</t>
    </r>
  </si>
  <si>
    <t>Týmto vyhlasujem, že všetky mnou vyššie uvedené údaje sú pravdivé a úplné. Potvrdzujem, že mi boli oznámené a odovzdané VPP UI platné v deň, ktorý je ako začiatok poistenia uvedený v tejto poistnej zmluve. Súčasne potvrdzujem, že som bol pred uzavretím tejto poistnej zmluvy oboznámený s údajmi podľa § 792a ods. 2 Občianskeho zákonníka.</t>
  </si>
  <si>
    <t>Poisťovateľ neposkytne poistné plnenie a ani neposkytne akékoľvek iné plnenie poistenému, pokiaľ by bol poisťovateľ vystavený hrozbe pokút, sankcií, obmedzení alebo zákazov, ktoré vyplývajú z:</t>
  </si>
  <si>
    <t>a) obchodných alebo ekonomických sankcií Európskej únie,
b) práva alebo platných predpisov Európskej únie,
c) rozhodnutí Organizácie spojených národov,
d) platných právnych predpisov Slovenskej republiky.</t>
  </si>
  <si>
    <t>Poisťovateľ môže zadržať poistné plnenie a akékoľvek iné plnenie poistenému, pokiaľ je poistený vedený v sankčných zoznamoch v USA. Po dobu zadržania poistného plnenia alebo akéhokoľvek iného plnenia poisťovateľ nie je v omeškaní s platením.</t>
  </si>
  <si>
    <r>
      <t xml:space="preserve">Výška odkupnej hodnoty pri predčasnom ukončení zmluvy sa v súlade s §788 ods. 2 písm. f) Občianskeho zákonníka dojednáva na 0 </t>
    </r>
    <r>
      <rPr>
        <sz val="9.5"/>
        <rFont val="Arial Narrow"/>
        <family val="2"/>
        <charset val="238"/>
      </rPr>
      <t>EUR.</t>
    </r>
  </si>
  <si>
    <t>Pre toto poistenie platia Všeobecné poistné podmienky pre poistenie úrazu - UNION ISTOTA (ďalej len "VPP UI") platné v deň, ktorý je ako začiatok poistenia uvedený v tejto poistnej zmluve, a zároveň sú neoddeliteľnou súčasťou poistnej zmluvy spolu s prílohami a dodatkami k poistnej zmluve a inými dotazníkmi (ak boli vyžiadané).</t>
  </si>
  <si>
    <t>verzia od: 01.12.2021</t>
  </si>
  <si>
    <t>INFORMAČNÝ FORMULÁR K NEŽIVOTNÉMU POISTENIU A ŽIVOTNÉMU POISTENIU
 BEZ ODKUPNEJ HODNOTY</t>
  </si>
  <si>
    <t>Názov poisťovateľa:</t>
  </si>
  <si>
    <t xml:space="preserve"> Union poisťovňa, a. s.</t>
  </si>
  <si>
    <t>Názov poistného produktu:</t>
  </si>
  <si>
    <t>Výška ročného poistného, ak je poistná doba kratšia ako jeden rok, výška celkového poistného</t>
  </si>
  <si>
    <t xml:space="preserve">z toho na krytie rizík </t>
  </si>
  <si>
    <t xml:space="preserve">z toho na úhradu nákladov na uzavretie poistenia    </t>
  </si>
  <si>
    <t>z toho na úhradu ostatných nákladov, daňových povinností  a odvodových povinností poisťovateľa a zisk poisťovateľa</t>
  </si>
  <si>
    <t>Úrazové poistenie - Union Istota</t>
  </si>
  <si>
    <t>elektronické avízo</t>
  </si>
  <si>
    <t>a</t>
  </si>
  <si>
    <t xml:space="preserve"> 1+098+01+01+0122</t>
  </si>
  <si>
    <t>Svojim podpisom potvrdzujem, že mi bol pred uzavretím poistnej zmluvy odovzdaný Informačný dokument o poistnom produkte pre produkt Union Istota - úrazové poistenie spolu s dokumentom Základné informácie o ochrane osobných údajov pre dotknutú osobu a dokumentom Informačný formulár o jednotlivých zložkách poistného.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</si>
</sst>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 #,##0.00\ &quot;€&quot;_-;\-* #,##0.00\ &quot;€&quot;_-;_-* &quot;-&quot;??\ &quot;€&quot;_-;_-@_-"/>
    <numFmt numFmtId="164" formatCode="0.0000"/>
    <numFmt numFmtId="165" formatCode="#,##0\ &quot;Sk&quot;"/>
    <numFmt numFmtId="166" formatCode="0\ &quot;rokov&quot;"/>
    <numFmt numFmtId="167" formatCode="_-* #,##0.00\ [$€-1]_-;\-* #,##0.00\ [$€-1]_-;_-* &quot;-&quot;??\ [$€-1]_-"/>
    <numFmt numFmtId="168" formatCode="#,##0.00\ [$€-1]"/>
    <numFmt numFmtId="169" formatCode="#,##0\ [$€-1]"/>
    <numFmt numFmtId="170" formatCode="#,##0.00\ [$€-1];\-#,##0.00\ [$€-1]"/>
    <numFmt numFmtId="171" formatCode="#,##0.00\ [$EUR]"/>
    <numFmt numFmtId="172" formatCode="0.000000"/>
    <numFmt numFmtId="173" formatCode="#,##0.00\ [$SKK]"/>
    <numFmt numFmtId="174" formatCode="#,##0\ [$EUR]"/>
    <numFmt numFmtId="175" formatCode="dd"/>
    <numFmt numFmtId="176" formatCode="_-* #,##0.00\ [$€-41B]_-;\-* #,##0.00\ [$€-41B]_-;_-* &quot;-&quot;??\ [$€-41B]_-;_-@_-"/>
  </numFmts>
  <fonts count="198">
    <font>
      <sz val="10"/>
      <name val="Arial"/>
      <charset val="238"/>
    </font>
    <font>
      <b/>
      <sz val="10"/>
      <name val="Arial"/>
      <family val="2"/>
      <charset val="238"/>
    </font>
    <font>
      <sz val="10"/>
      <name val="Arial"/>
      <family val="2"/>
      <charset val="238"/>
    </font>
    <font>
      <sz val="10"/>
      <name val="Arial CE"/>
      <charset val="238"/>
    </font>
    <font>
      <sz val="10"/>
      <name val="Arial"/>
      <family val="2"/>
      <charset val="238"/>
    </font>
    <font>
      <b/>
      <sz val="10"/>
      <name val="Arial"/>
      <family val="2"/>
      <charset val="238"/>
    </font>
    <font>
      <b/>
      <sz val="11"/>
      <name val="Arial"/>
      <family val="2"/>
      <charset val="238"/>
    </font>
    <font>
      <b/>
      <sz val="11"/>
      <color indexed="10"/>
      <name val="Arial"/>
      <family val="2"/>
      <charset val="238"/>
    </font>
    <font>
      <b/>
      <sz val="12"/>
      <color indexed="9"/>
      <name val="Arial"/>
      <family val="2"/>
      <charset val="238"/>
    </font>
    <font>
      <sz val="8"/>
      <color indexed="81"/>
      <name val="Tahoma"/>
      <family val="2"/>
      <charset val="238"/>
    </font>
    <font>
      <b/>
      <sz val="14"/>
      <name val="Arial"/>
      <family val="2"/>
    </font>
    <font>
      <b/>
      <sz val="10"/>
      <color indexed="10"/>
      <name val="Arial"/>
      <family val="2"/>
    </font>
    <font>
      <b/>
      <sz val="10"/>
      <name val="Arial"/>
      <family val="2"/>
    </font>
    <font>
      <sz val="10"/>
      <name val="Arial"/>
      <family val="2"/>
    </font>
    <font>
      <b/>
      <sz val="12"/>
      <color indexed="10"/>
      <name val="Arial"/>
      <family val="2"/>
    </font>
    <font>
      <b/>
      <sz val="12"/>
      <name val="Arial"/>
      <family val="2"/>
    </font>
    <font>
      <sz val="12"/>
      <name val="Arial"/>
      <family val="2"/>
    </font>
    <font>
      <sz val="11"/>
      <name val="Arial"/>
      <family val="2"/>
    </font>
    <font>
      <b/>
      <sz val="11"/>
      <name val="Arial"/>
      <family val="2"/>
    </font>
    <font>
      <i/>
      <sz val="10"/>
      <name val="Arial"/>
      <family val="2"/>
    </font>
    <font>
      <b/>
      <sz val="18"/>
      <color indexed="10"/>
      <name val="Arial"/>
      <family val="2"/>
    </font>
    <font>
      <b/>
      <sz val="15"/>
      <name val="Arial"/>
      <family val="2"/>
    </font>
    <font>
      <sz val="15"/>
      <name val="Arial"/>
      <family val="2"/>
    </font>
    <font>
      <b/>
      <sz val="12"/>
      <color indexed="55"/>
      <name val="Arial"/>
      <family val="2"/>
    </font>
    <font>
      <sz val="12"/>
      <name val="Arial"/>
      <family val="2"/>
      <charset val="238"/>
    </font>
    <font>
      <sz val="7.5"/>
      <name val="Arial"/>
      <family val="2"/>
    </font>
    <font>
      <b/>
      <sz val="9"/>
      <name val="Arial"/>
      <family val="2"/>
    </font>
    <font>
      <i/>
      <sz val="7"/>
      <name val="Arial"/>
      <family val="2"/>
    </font>
    <font>
      <b/>
      <sz val="18"/>
      <name val="Arial"/>
      <family val="2"/>
    </font>
    <font>
      <sz val="10"/>
      <color indexed="12"/>
      <name val="Arial"/>
      <family val="2"/>
    </font>
    <font>
      <b/>
      <i/>
      <sz val="11"/>
      <name val="Arial"/>
      <family val="2"/>
    </font>
    <font>
      <sz val="11"/>
      <color indexed="8"/>
      <name val="Arial"/>
      <family val="2"/>
    </font>
    <font>
      <sz val="9"/>
      <name val="Arial"/>
      <family val="2"/>
    </font>
    <font>
      <b/>
      <sz val="8"/>
      <color indexed="81"/>
      <name val="Tahoma"/>
      <family val="2"/>
      <charset val="238"/>
    </font>
    <font>
      <strike/>
      <sz val="10"/>
      <name val="Arial"/>
      <family val="2"/>
    </font>
    <font>
      <sz val="10"/>
      <color indexed="8"/>
      <name val="Arial"/>
      <family val="2"/>
      <charset val="238"/>
    </font>
    <font>
      <b/>
      <sz val="10"/>
      <color indexed="8"/>
      <name val="Arial"/>
      <family val="2"/>
    </font>
    <font>
      <sz val="10"/>
      <color indexed="8"/>
      <name val="Arial"/>
      <family val="2"/>
    </font>
    <font>
      <b/>
      <sz val="10"/>
      <color indexed="8"/>
      <name val="Arial"/>
      <family val="2"/>
      <charset val="238"/>
    </font>
    <font>
      <b/>
      <sz val="10"/>
      <color indexed="8"/>
      <name val="Arial"/>
      <family val="2"/>
      <charset val="238"/>
    </font>
    <font>
      <sz val="10"/>
      <color indexed="8"/>
      <name val="Times New Roman"/>
      <family val="1"/>
    </font>
    <font>
      <b/>
      <sz val="10"/>
      <color indexed="8"/>
      <name val="AT*Toronto"/>
    </font>
    <font>
      <b/>
      <sz val="10"/>
      <name val="AT*Toronto"/>
    </font>
    <font>
      <sz val="10"/>
      <name val="Times New Roman"/>
      <family val="1"/>
    </font>
    <font>
      <b/>
      <sz val="16"/>
      <name val="Arial"/>
      <family val="2"/>
    </font>
    <font>
      <b/>
      <sz val="7.5"/>
      <name val="Arial"/>
      <family val="2"/>
      <charset val="238"/>
    </font>
    <font>
      <b/>
      <sz val="8"/>
      <name val="Arial"/>
      <family val="2"/>
      <charset val="238"/>
    </font>
    <font>
      <b/>
      <sz val="7"/>
      <name val="Arial"/>
      <family val="2"/>
      <charset val="238"/>
    </font>
    <font>
      <sz val="7.5"/>
      <name val="Arial"/>
      <family val="2"/>
      <charset val="238"/>
    </font>
    <font>
      <b/>
      <sz val="9"/>
      <name val="Arial"/>
      <family val="2"/>
      <charset val="238"/>
    </font>
    <font>
      <sz val="7"/>
      <name val="Arial"/>
      <family val="2"/>
      <charset val="238"/>
    </font>
    <font>
      <sz val="6"/>
      <name val="Arial"/>
      <family val="2"/>
      <charset val="238"/>
    </font>
    <font>
      <vertAlign val="superscript"/>
      <sz val="7.5"/>
      <name val="Arial"/>
      <family val="2"/>
      <charset val="238"/>
    </font>
    <font>
      <i/>
      <sz val="6"/>
      <name val="Arial"/>
      <family val="2"/>
      <charset val="238"/>
    </font>
    <font>
      <sz val="6.5"/>
      <name val="Arial"/>
      <family val="2"/>
      <charset val="238"/>
    </font>
    <font>
      <sz val="7.5"/>
      <color indexed="10"/>
      <name val="Arial"/>
      <family val="2"/>
      <charset val="238"/>
    </font>
    <font>
      <sz val="8"/>
      <name val="Arial"/>
      <family val="2"/>
      <charset val="238"/>
    </font>
    <font>
      <vertAlign val="superscript"/>
      <sz val="7"/>
      <name val="Arial"/>
      <family val="2"/>
      <charset val="238"/>
    </font>
    <font>
      <i/>
      <sz val="7"/>
      <name val="Arial"/>
      <family val="2"/>
      <charset val="238"/>
    </font>
    <font>
      <b/>
      <sz val="6.5"/>
      <name val="Arial"/>
      <family val="2"/>
      <charset val="238"/>
    </font>
    <font>
      <b/>
      <sz val="8"/>
      <color indexed="10"/>
      <name val="Arial"/>
      <family val="2"/>
      <charset val="238"/>
    </font>
    <font>
      <sz val="8"/>
      <color indexed="10"/>
      <name val="Arial"/>
      <family val="2"/>
      <charset val="238"/>
    </font>
    <font>
      <b/>
      <i/>
      <sz val="11"/>
      <color indexed="9"/>
      <name val="Arial"/>
      <family val="2"/>
    </font>
    <font>
      <sz val="9"/>
      <name val="Arial"/>
      <family val="2"/>
      <charset val="238"/>
    </font>
    <font>
      <b/>
      <sz val="10"/>
      <color indexed="10"/>
      <name val="Arial"/>
      <family val="2"/>
      <charset val="238"/>
    </font>
    <font>
      <sz val="10"/>
      <color indexed="10"/>
      <name val="Arial"/>
      <family val="2"/>
      <charset val="238"/>
    </font>
    <font>
      <sz val="10"/>
      <color indexed="81"/>
      <name val="Tahoma"/>
      <family val="2"/>
      <charset val="238"/>
    </font>
    <font>
      <b/>
      <sz val="12"/>
      <color indexed="10"/>
      <name val="Arial"/>
      <family val="2"/>
      <charset val="238"/>
    </font>
    <font>
      <u/>
      <sz val="10"/>
      <color indexed="12"/>
      <name val="Arial"/>
      <family val="2"/>
      <charset val="238"/>
    </font>
    <font>
      <sz val="7.5"/>
      <color indexed="8"/>
      <name val="Arial"/>
      <family val="2"/>
    </font>
    <font>
      <sz val="7.5"/>
      <color indexed="10"/>
      <name val="Arial"/>
      <family val="2"/>
    </font>
    <font>
      <b/>
      <sz val="7"/>
      <color indexed="8"/>
      <name val="Arial"/>
      <family val="2"/>
    </font>
    <font>
      <b/>
      <sz val="7.5"/>
      <color indexed="8"/>
      <name val="Arial"/>
      <family val="2"/>
    </font>
    <font>
      <b/>
      <sz val="9"/>
      <color indexed="8"/>
      <name val="Arial"/>
      <family val="2"/>
    </font>
    <font>
      <sz val="7"/>
      <color indexed="8"/>
      <name val="Arial"/>
      <family val="2"/>
    </font>
    <font>
      <sz val="8"/>
      <color indexed="8"/>
      <name val="Arial"/>
      <family val="2"/>
    </font>
    <font>
      <b/>
      <sz val="8"/>
      <color indexed="8"/>
      <name val="Arial"/>
      <family val="2"/>
    </font>
    <font>
      <sz val="25"/>
      <color indexed="8"/>
      <name val="Arial"/>
      <family val="2"/>
    </font>
    <font>
      <b/>
      <sz val="6.5"/>
      <color indexed="8"/>
      <name val="Arial"/>
      <family val="2"/>
    </font>
    <font>
      <b/>
      <strike/>
      <sz val="7.5"/>
      <color indexed="8"/>
      <name val="Arial"/>
      <family val="2"/>
    </font>
    <font>
      <strike/>
      <sz val="7.5"/>
      <color indexed="8"/>
      <name val="Arial"/>
      <family val="2"/>
    </font>
    <font>
      <sz val="9"/>
      <color indexed="10"/>
      <name val="Arial"/>
      <family val="2"/>
    </font>
    <font>
      <sz val="9"/>
      <color indexed="8"/>
      <name val="Arial"/>
      <family val="2"/>
    </font>
    <font>
      <b/>
      <sz val="7.5"/>
      <color indexed="8"/>
      <name val="Arial"/>
      <family val="2"/>
      <charset val="238"/>
    </font>
    <font>
      <b/>
      <sz val="8"/>
      <color indexed="8"/>
      <name val="Arial"/>
      <family val="2"/>
      <charset val="238"/>
    </font>
    <font>
      <b/>
      <sz val="10"/>
      <name val="Arial CE"/>
      <charset val="238"/>
    </font>
    <font>
      <sz val="10"/>
      <color indexed="17"/>
      <name val="Arial"/>
      <family val="2"/>
      <charset val="238"/>
    </font>
    <font>
      <b/>
      <sz val="12"/>
      <color indexed="17"/>
      <name val="Arial"/>
      <family val="2"/>
      <charset val="238"/>
    </font>
    <font>
      <sz val="10"/>
      <color indexed="9"/>
      <name val="Arial"/>
      <family val="2"/>
      <charset val="238"/>
    </font>
    <font>
      <sz val="15"/>
      <color indexed="9"/>
      <name val="Arial"/>
      <family val="2"/>
      <charset val="238"/>
    </font>
    <font>
      <b/>
      <sz val="10"/>
      <color indexed="9"/>
      <name val="Arial"/>
      <family val="2"/>
      <charset val="238"/>
    </font>
    <font>
      <b/>
      <sz val="9"/>
      <color indexed="9"/>
      <name val="Arial"/>
      <family val="2"/>
      <charset val="238"/>
    </font>
    <font>
      <b/>
      <sz val="8"/>
      <color indexed="9"/>
      <name val="Arial"/>
      <family val="2"/>
      <charset val="238"/>
    </font>
    <font>
      <sz val="7.5"/>
      <color indexed="9"/>
      <name val="Arial"/>
      <family val="2"/>
      <charset val="238"/>
    </font>
    <font>
      <b/>
      <sz val="1"/>
      <color indexed="9"/>
      <name val="Arial"/>
      <family val="2"/>
      <charset val="238"/>
    </font>
    <font>
      <sz val="1"/>
      <color indexed="9"/>
      <name val="Arial"/>
      <family val="2"/>
      <charset val="238"/>
    </font>
    <font>
      <b/>
      <sz val="1"/>
      <name val="Arial"/>
      <family val="2"/>
      <charset val="238"/>
    </font>
    <font>
      <sz val="10"/>
      <name val="Arial Unicode MS"/>
      <family val="2"/>
      <charset val="238"/>
    </font>
    <font>
      <b/>
      <sz val="18"/>
      <color indexed="10"/>
      <name val="Arial"/>
      <family val="2"/>
      <charset val="238"/>
    </font>
    <font>
      <b/>
      <sz val="18"/>
      <color indexed="9"/>
      <name val="Arial"/>
      <family val="2"/>
      <charset val="238"/>
    </font>
    <font>
      <b/>
      <sz val="11"/>
      <color indexed="9"/>
      <name val="Arial"/>
      <family val="2"/>
      <charset val="238"/>
    </font>
    <font>
      <sz val="11"/>
      <color indexed="9"/>
      <name val="Arial"/>
      <family val="2"/>
      <charset val="238"/>
    </font>
    <font>
      <b/>
      <sz val="10"/>
      <color indexed="9"/>
      <name val="Arial"/>
      <family val="2"/>
    </font>
    <font>
      <sz val="12"/>
      <color indexed="9"/>
      <name val="Arial"/>
      <family val="2"/>
    </font>
    <font>
      <b/>
      <sz val="12"/>
      <color indexed="9"/>
      <name val="Arial"/>
      <family val="2"/>
    </font>
    <font>
      <b/>
      <i/>
      <sz val="12"/>
      <color indexed="9"/>
      <name val="Arial"/>
      <family val="2"/>
    </font>
    <font>
      <b/>
      <sz val="15"/>
      <color indexed="9"/>
      <name val="Arial"/>
      <family val="2"/>
    </font>
    <font>
      <sz val="15"/>
      <color indexed="9"/>
      <name val="Arial"/>
      <family val="2"/>
    </font>
    <font>
      <b/>
      <sz val="17"/>
      <name val="Arial"/>
      <family val="2"/>
    </font>
    <font>
      <b/>
      <sz val="13"/>
      <name val="Arial"/>
      <family val="2"/>
    </font>
    <font>
      <sz val="13"/>
      <name val="Arial"/>
      <family val="2"/>
    </font>
    <font>
      <b/>
      <sz val="14"/>
      <name val="Arial"/>
      <family val="2"/>
      <charset val="238"/>
    </font>
    <font>
      <b/>
      <sz val="10"/>
      <color indexed="56"/>
      <name val="Arial"/>
      <family val="2"/>
      <charset val="238"/>
    </font>
    <font>
      <b/>
      <sz val="10"/>
      <color theme="5" tint="-0.249977111117893"/>
      <name val="Arial"/>
      <family val="2"/>
      <charset val="238"/>
    </font>
    <font>
      <b/>
      <sz val="10"/>
      <color rgb="FF0000FF"/>
      <name val="Arial"/>
      <family val="2"/>
      <charset val="238"/>
    </font>
    <font>
      <b/>
      <sz val="16"/>
      <color rgb="FFA50021"/>
      <name val="Arial"/>
      <family val="2"/>
      <charset val="238"/>
    </font>
    <font>
      <b/>
      <sz val="10"/>
      <color rgb="FFFF0000"/>
      <name val="Arial"/>
      <family val="2"/>
      <charset val="238"/>
    </font>
    <font>
      <b/>
      <sz val="10"/>
      <color theme="5" tint="-0.499984740745262"/>
      <name val="Arial"/>
      <family val="2"/>
      <charset val="238"/>
    </font>
    <font>
      <b/>
      <u/>
      <sz val="10"/>
      <color theme="5" tint="-0.499984740745262"/>
      <name val="Arial"/>
      <family val="2"/>
      <charset val="238"/>
    </font>
    <font>
      <b/>
      <vertAlign val="superscript"/>
      <sz val="10"/>
      <name val="Arial"/>
      <family val="2"/>
      <charset val="238"/>
    </font>
    <font>
      <b/>
      <sz val="10"/>
      <color rgb="FFFF3300"/>
      <name val="Arial"/>
      <family val="2"/>
      <charset val="238"/>
    </font>
    <font>
      <sz val="10"/>
      <color theme="0"/>
      <name val="Arial"/>
      <family val="2"/>
      <charset val="238"/>
    </font>
    <font>
      <b/>
      <sz val="10.5"/>
      <name val="Arial Narrow"/>
      <family val="2"/>
      <charset val="238"/>
    </font>
    <font>
      <b/>
      <sz val="12"/>
      <name val="Arial Narrow"/>
      <family val="2"/>
      <charset val="238"/>
    </font>
    <font>
      <b/>
      <sz val="12"/>
      <color theme="1"/>
      <name val="Times New Roman"/>
      <family val="1"/>
      <charset val="238"/>
    </font>
    <font>
      <b/>
      <sz val="14"/>
      <name val="Arial Narrow"/>
      <family val="2"/>
      <charset val="238"/>
    </font>
    <font>
      <b/>
      <sz val="12"/>
      <name val="Times New Roman"/>
      <family val="1"/>
      <charset val="238"/>
    </font>
    <font>
      <sz val="12"/>
      <name val="Times New Roman"/>
      <family val="1"/>
      <charset val="238"/>
    </font>
    <font>
      <sz val="12"/>
      <color rgb="FFFF0000"/>
      <name val="Times New Roman"/>
      <family val="1"/>
      <charset val="238"/>
    </font>
    <font>
      <b/>
      <sz val="10.5"/>
      <color theme="1"/>
      <name val="Arial Narrow"/>
      <family val="2"/>
      <charset val="238"/>
    </font>
    <font>
      <sz val="10.5"/>
      <color theme="1"/>
      <name val="Arial Narrow"/>
      <family val="2"/>
      <charset val="238"/>
    </font>
    <font>
      <sz val="10.5"/>
      <name val="Arial Narrow"/>
      <family val="2"/>
      <charset val="238"/>
    </font>
    <font>
      <vertAlign val="superscript"/>
      <sz val="10.5"/>
      <color theme="1"/>
      <name val="Arial Narrow"/>
      <family val="2"/>
      <charset val="238"/>
    </font>
    <font>
      <b/>
      <sz val="10.5"/>
      <color theme="5" tint="-0.499984740745262"/>
      <name val="Arial Narrow"/>
      <family val="2"/>
      <charset val="238"/>
    </font>
    <font>
      <sz val="10.5"/>
      <color indexed="8"/>
      <name val="Arial Narrow"/>
      <family val="2"/>
      <charset val="238"/>
    </font>
    <font>
      <b/>
      <sz val="10.5"/>
      <color theme="9" tint="-0.499984740745262"/>
      <name val="Arial Narrow"/>
      <family val="2"/>
      <charset val="238"/>
    </font>
    <font>
      <sz val="10"/>
      <color theme="1"/>
      <name val="Arial Narrow"/>
      <family val="2"/>
      <charset val="238"/>
    </font>
    <font>
      <b/>
      <sz val="10"/>
      <color theme="1"/>
      <name val="Arial Narrow"/>
      <family val="2"/>
      <charset val="238"/>
    </font>
    <font>
      <sz val="12"/>
      <color theme="1"/>
      <name val="Times New Roman"/>
      <family val="1"/>
      <charset val="238"/>
    </font>
    <font>
      <sz val="10.5"/>
      <name val="Arial"/>
      <family val="2"/>
      <charset val="238"/>
    </font>
    <font>
      <sz val="10"/>
      <color rgb="FFFF0000"/>
      <name val="Arial Narrow"/>
      <family val="2"/>
      <charset val="238"/>
    </font>
    <font>
      <b/>
      <sz val="10.5"/>
      <color rgb="FFFF0000"/>
      <name val="Arial Narrow"/>
      <family val="2"/>
      <charset val="238"/>
    </font>
    <font>
      <sz val="10.5"/>
      <color rgb="FFFF0000"/>
      <name val="Arial Narrow"/>
      <family val="2"/>
      <charset val="238"/>
    </font>
    <font>
      <b/>
      <sz val="10"/>
      <color rgb="FFFF0000"/>
      <name val="Arial Narrow"/>
      <family val="2"/>
      <charset val="238"/>
    </font>
    <font>
      <b/>
      <sz val="14"/>
      <color rgb="FFFF0000"/>
      <name val="Arial Narrow"/>
      <family val="2"/>
      <charset val="238"/>
    </font>
    <font>
      <b/>
      <sz val="12"/>
      <color rgb="FF0000FF"/>
      <name val="Arial Narrow"/>
      <family val="2"/>
      <charset val="238"/>
    </font>
    <font>
      <b/>
      <sz val="10"/>
      <color rgb="FF0000FF"/>
      <name val="Arial Narrow"/>
      <family val="2"/>
      <charset val="238"/>
    </font>
    <font>
      <b/>
      <i/>
      <sz val="10.5"/>
      <color theme="1"/>
      <name val="Arial Narrow"/>
      <family val="2"/>
      <charset val="238"/>
    </font>
    <font>
      <b/>
      <sz val="12"/>
      <color rgb="FFFF0000"/>
      <name val="Arial"/>
      <family val="2"/>
      <charset val="238"/>
    </font>
    <font>
      <sz val="14"/>
      <name val="Times New Roman"/>
      <family val="1"/>
      <charset val="238"/>
    </font>
    <font>
      <sz val="14"/>
      <name val="Arial"/>
      <family val="2"/>
      <charset val="238"/>
    </font>
    <font>
      <b/>
      <sz val="12"/>
      <color rgb="FFFF0000"/>
      <name val="Times New Roman"/>
      <family val="1"/>
      <charset val="238"/>
    </font>
    <font>
      <sz val="10.5"/>
      <color theme="0"/>
      <name val="Arial Narrow"/>
      <family val="2"/>
      <charset val="238"/>
    </font>
    <font>
      <b/>
      <sz val="10.5"/>
      <color theme="1"/>
      <name val="Arial"/>
      <family val="2"/>
      <charset val="238"/>
    </font>
    <font>
      <sz val="10"/>
      <color rgb="FFFF0000"/>
      <name val="Arial"/>
      <family val="2"/>
      <charset val="238"/>
    </font>
    <font>
      <vertAlign val="superscript"/>
      <sz val="10.5"/>
      <name val="Arial Narrow"/>
      <family val="2"/>
      <charset val="238"/>
    </font>
    <font>
      <b/>
      <sz val="16"/>
      <name val="Arial"/>
      <family val="2"/>
      <charset val="238"/>
    </font>
    <font>
      <sz val="12"/>
      <color rgb="FFFFFF99"/>
      <name val="Arial"/>
      <family val="2"/>
    </font>
    <font>
      <b/>
      <sz val="14"/>
      <color rgb="FF009900"/>
      <name val="Arial"/>
      <family val="2"/>
      <charset val="238"/>
    </font>
    <font>
      <sz val="10"/>
      <color rgb="FF0000FF"/>
      <name val="Arial"/>
      <family val="2"/>
      <charset val="238"/>
    </font>
    <font>
      <b/>
      <sz val="14"/>
      <color theme="6" tint="-0.249977111117893"/>
      <name val="Arial"/>
      <family val="2"/>
      <charset val="238"/>
    </font>
    <font>
      <b/>
      <sz val="11.5"/>
      <color rgb="FFA50021"/>
      <name val="Arial"/>
      <family val="2"/>
      <charset val="238"/>
    </font>
    <font>
      <sz val="11"/>
      <color rgb="FF006100"/>
      <name val="Calibri"/>
      <family val="2"/>
      <charset val="238"/>
      <scheme val="minor"/>
    </font>
    <font>
      <sz val="11"/>
      <color rgb="FF9C0006"/>
      <name val="Calibri"/>
      <family val="2"/>
      <charset val="238"/>
      <scheme val="minor"/>
    </font>
    <font>
      <b/>
      <sz val="16"/>
      <color rgb="FFFF0000"/>
      <name val="Arial"/>
      <family val="2"/>
      <charset val="238"/>
    </font>
    <font>
      <b/>
      <sz val="18"/>
      <name val="Arial"/>
      <family val="2"/>
      <charset val="238"/>
    </font>
    <font>
      <b/>
      <sz val="14"/>
      <color rgb="FF92D050"/>
      <name val="Arial"/>
      <family val="2"/>
      <charset val="238"/>
    </font>
    <font>
      <b/>
      <sz val="14"/>
      <color theme="1"/>
      <name val="Arial"/>
      <family val="2"/>
      <charset val="238"/>
    </font>
    <font>
      <sz val="10"/>
      <color theme="1"/>
      <name val="Arial"/>
      <family val="2"/>
      <charset val="238"/>
    </font>
    <font>
      <b/>
      <sz val="14"/>
      <color theme="0"/>
      <name val="Arial"/>
      <family val="2"/>
      <charset val="238"/>
    </font>
    <font>
      <b/>
      <sz val="10"/>
      <color theme="0"/>
      <name val="Arial"/>
      <family val="2"/>
      <charset val="238"/>
    </font>
    <font>
      <b/>
      <sz val="1"/>
      <color theme="0"/>
      <name val="Arial"/>
      <family val="2"/>
      <charset val="238"/>
    </font>
    <font>
      <b/>
      <sz val="18"/>
      <color theme="0"/>
      <name val="Arial"/>
      <family val="2"/>
      <charset val="238"/>
    </font>
    <font>
      <sz val="11"/>
      <color rgb="FF3F3F76"/>
      <name val="Calibri"/>
      <family val="2"/>
      <charset val="238"/>
      <scheme val="minor"/>
    </font>
    <font>
      <b/>
      <sz val="14"/>
      <color rgb="FFF20000"/>
      <name val="Arial Narrow"/>
      <family val="2"/>
      <charset val="238"/>
    </font>
    <font>
      <b/>
      <sz val="14"/>
      <color rgb="FF9A0000"/>
      <name val="Arial Narrow"/>
      <family val="2"/>
      <charset val="238"/>
    </font>
    <font>
      <b/>
      <sz val="14"/>
      <color rgb="FF339933"/>
      <name val="Arial Narrow"/>
      <family val="2"/>
      <charset val="238"/>
    </font>
    <font>
      <b/>
      <sz val="10.5"/>
      <color rgb="FFC00000"/>
      <name val="Arial Narrow"/>
      <family val="2"/>
      <charset val="238"/>
    </font>
    <font>
      <b/>
      <sz val="16"/>
      <color rgb="FFFF0000"/>
      <name val="Arial Narrow"/>
      <family val="2"/>
      <charset val="238"/>
    </font>
    <font>
      <sz val="16"/>
      <name val="Arial Narrow"/>
      <family val="2"/>
      <charset val="238"/>
    </font>
    <font>
      <sz val="10"/>
      <name val="Arial"/>
      <family val="2"/>
      <charset val="238"/>
    </font>
    <font>
      <b/>
      <sz val="11"/>
      <color theme="0"/>
      <name val="Arial"/>
      <family val="2"/>
      <charset val="238"/>
    </font>
    <font>
      <sz val="9.5"/>
      <name val="Arial"/>
      <family val="2"/>
      <charset val="238"/>
    </font>
    <font>
      <sz val="9.5"/>
      <color theme="1"/>
      <name val="Arial Narrow"/>
      <family val="2"/>
      <charset val="238"/>
    </font>
    <font>
      <sz val="9.5"/>
      <name val="Arial Narrow"/>
      <family val="2"/>
      <charset val="238"/>
    </font>
    <font>
      <sz val="9.5"/>
      <color rgb="FFFF0000"/>
      <name val="Arial Narrow"/>
      <family val="2"/>
      <charset val="238"/>
    </font>
    <font>
      <b/>
      <sz val="9.5"/>
      <color rgb="FFFF0000"/>
      <name val="Arial Narrow"/>
      <family val="2"/>
      <charset val="238"/>
    </font>
    <font>
      <sz val="10"/>
      <color theme="1"/>
      <name val="Times New Roman"/>
      <family val="1"/>
      <charset val="238"/>
    </font>
    <font>
      <b/>
      <sz val="9.5"/>
      <color theme="1"/>
      <name val="Arial Narrow"/>
      <family val="2"/>
      <charset val="238"/>
    </font>
    <font>
      <sz val="10"/>
      <name val="Arial"/>
      <family val="2"/>
      <charset val="238"/>
    </font>
    <font>
      <sz val="11"/>
      <color theme="0"/>
      <name val="Calibri"/>
      <family val="2"/>
      <charset val="238"/>
      <scheme val="minor"/>
    </font>
    <font>
      <b/>
      <sz val="13"/>
      <name val="Arial"/>
      <family val="2"/>
      <charset val="238"/>
    </font>
    <font>
      <sz val="13"/>
      <name val="Arial"/>
      <family val="2"/>
      <charset val="238"/>
    </font>
    <font>
      <sz val="8"/>
      <name val="Calibri"/>
      <family val="2"/>
      <charset val="238"/>
    </font>
    <font>
      <b/>
      <sz val="10.5"/>
      <color theme="0"/>
      <name val="Arial"/>
      <family val="2"/>
      <charset val="238"/>
    </font>
    <font>
      <sz val="10"/>
      <name val="Calibri"/>
      <family val="2"/>
      <charset val="238"/>
    </font>
    <font>
      <b/>
      <sz val="10.5"/>
      <name val="Arial"/>
      <family val="2"/>
      <charset val="238"/>
    </font>
    <font>
      <sz val="10"/>
      <color theme="0"/>
      <name val="Arial"/>
      <charset val="238"/>
    </font>
  </fonts>
  <fills count="24">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16"/>
        <bgColor indexed="64"/>
      </patternFill>
    </fill>
    <fill>
      <patternFill patternType="solid">
        <fgColor theme="0"/>
        <bgColor indexed="64"/>
      </patternFill>
    </fill>
    <fill>
      <patternFill patternType="solid">
        <fgColor theme="0" tint="-0.24994659260841701"/>
        <bgColor indexed="64"/>
      </patternFill>
    </fill>
    <fill>
      <patternFill patternType="solid">
        <fgColor rgb="FFFFB3B3"/>
        <bgColor indexed="64"/>
      </patternFill>
    </fill>
    <fill>
      <patternFill patternType="solid">
        <fgColor rgb="FFFFA3A3"/>
        <bgColor auto="1"/>
      </patternFill>
    </fill>
    <fill>
      <patternFill patternType="solid">
        <fgColor rgb="FFFF99CC"/>
        <bgColor indexed="64"/>
      </patternFill>
    </fill>
    <fill>
      <patternFill patternType="solid">
        <fgColor rgb="FFFF99FF"/>
        <bgColor indexed="64"/>
      </patternFill>
    </fill>
    <fill>
      <patternFill patternType="solid">
        <fgColor indexed="65"/>
        <bgColor indexed="64"/>
      </patternFill>
    </fill>
    <fill>
      <patternFill patternType="solid">
        <fgColor rgb="FFFFC000"/>
        <bgColor indexed="64"/>
      </patternFill>
    </fill>
    <fill>
      <patternFill patternType="solid">
        <fgColor rgb="FFFFB9B9"/>
        <bgColor indexed="64"/>
      </patternFill>
    </fill>
    <fill>
      <patternFill patternType="solid">
        <fgColor theme="5" tint="0.39997558519241921"/>
        <bgColor indexed="64"/>
      </patternFill>
    </fill>
    <fill>
      <patternFill patternType="solid">
        <fgColor rgb="FFC6EFCE"/>
      </patternFill>
    </fill>
    <fill>
      <patternFill patternType="solid">
        <fgColor rgb="FFFFC7CE"/>
      </patternFill>
    </fill>
    <fill>
      <patternFill patternType="solid">
        <fgColor theme="2" tint="-9.9978637043366805E-2"/>
        <bgColor indexed="64"/>
      </patternFill>
    </fill>
    <fill>
      <patternFill patternType="solid">
        <fgColor rgb="FFFFCC99"/>
      </patternFill>
    </fill>
    <fill>
      <patternFill patternType="solid">
        <fgColor theme="0" tint="-0.249977111117893"/>
        <bgColor indexed="64"/>
      </patternFill>
    </fill>
    <fill>
      <patternFill patternType="solid">
        <fgColor theme="0" tint="-0.14999847407452621"/>
        <bgColor indexed="64"/>
      </patternFill>
    </fill>
  </fills>
  <borders count="14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top/>
      <bottom style="thick">
        <color indexed="64"/>
      </bottom>
      <diagonal/>
    </border>
    <border>
      <left style="medium">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style="thick">
        <color indexed="64"/>
      </left>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thin">
        <color indexed="64"/>
      </top>
      <bottom style="thick">
        <color indexed="10"/>
      </bottom>
      <diagonal/>
    </border>
    <border>
      <left style="medium">
        <color indexed="64"/>
      </left>
      <right style="thin">
        <color indexed="64"/>
      </right>
      <top style="thin">
        <color indexed="64"/>
      </top>
      <bottom style="thick">
        <color indexed="10"/>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medium">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10"/>
      </top>
      <bottom/>
      <diagonal/>
    </border>
    <border>
      <left style="thin">
        <color indexed="64"/>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FF0000"/>
      </left>
      <right style="thin">
        <color rgb="FFFF0000"/>
      </right>
      <top style="thin">
        <color rgb="FFFF0000"/>
      </top>
      <bottom style="thin">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style="thin">
        <color rgb="FFFF0000"/>
      </bottom>
      <diagonal/>
    </border>
    <border>
      <left/>
      <right/>
      <top style="medium">
        <color rgb="FFFF0000"/>
      </top>
      <bottom style="thin">
        <color rgb="FFFF0000"/>
      </bottom>
      <diagonal/>
    </border>
    <border>
      <left/>
      <right style="thin">
        <color rgb="FFFF0000"/>
      </right>
      <top style="medium">
        <color rgb="FFFF0000"/>
      </top>
      <bottom style="thin">
        <color rgb="FFFF0000"/>
      </bottom>
      <diagonal/>
    </border>
    <border>
      <left style="thin">
        <color rgb="FFFF0000"/>
      </left>
      <right/>
      <top style="medium">
        <color rgb="FFFF0000"/>
      </top>
      <bottom style="thin">
        <color rgb="FFFF0000"/>
      </bottom>
      <diagonal/>
    </border>
    <border>
      <left style="medium">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top style="thin">
        <color rgb="FFFF0000"/>
      </top>
      <bottom style="thin">
        <color rgb="FFFF0000"/>
      </bottom>
      <diagonal/>
    </border>
    <border>
      <left/>
      <right style="medium">
        <color rgb="FFFF0000"/>
      </right>
      <top style="thin">
        <color rgb="FFFF0000"/>
      </top>
      <bottom style="thin">
        <color rgb="FFFF0000"/>
      </bottom>
      <diagonal/>
    </border>
    <border>
      <left style="medium">
        <color rgb="FFFF0000"/>
      </left>
      <right/>
      <top style="thin">
        <color rgb="FFFF0000"/>
      </top>
      <bottom style="medium">
        <color rgb="FFFF0000"/>
      </bottom>
      <diagonal/>
    </border>
    <border>
      <left/>
      <right/>
      <top style="thin">
        <color rgb="FFFF0000"/>
      </top>
      <bottom style="medium">
        <color rgb="FFFF0000"/>
      </bottom>
      <diagonal/>
    </border>
    <border>
      <left style="thin">
        <color rgb="FFFF0000"/>
      </left>
      <right/>
      <top style="thin">
        <color rgb="FFFF0000"/>
      </top>
      <bottom style="medium">
        <color rgb="FFFF0000"/>
      </bottom>
      <diagonal/>
    </border>
    <border>
      <left/>
      <right style="medium">
        <color rgb="FFFF0000"/>
      </right>
      <top style="thin">
        <color rgb="FFFF0000"/>
      </top>
      <bottom style="medium">
        <color rgb="FFFF000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style="medium">
        <color rgb="FFFF0000"/>
      </right>
      <top style="medium">
        <color rgb="FFFF0000"/>
      </top>
      <bottom style="thin">
        <color rgb="FFFF0000"/>
      </bottom>
      <diagonal/>
    </border>
    <border>
      <left/>
      <right style="thin">
        <color rgb="FFFF0000"/>
      </right>
      <top/>
      <bottom/>
      <diagonal/>
    </border>
    <border>
      <left style="thin">
        <color rgb="FFFF0000"/>
      </left>
      <right/>
      <top/>
      <bottom/>
      <diagonal/>
    </border>
    <border>
      <left style="medium">
        <color rgb="FFFF0000"/>
      </left>
      <right/>
      <top/>
      <bottom style="thin">
        <color rgb="FFFF0000"/>
      </bottom>
      <diagonal/>
    </border>
    <border>
      <left/>
      <right/>
      <top/>
      <bottom style="thin">
        <color rgb="FFFF0000"/>
      </bottom>
      <diagonal/>
    </border>
    <border>
      <left/>
      <right style="thin">
        <color rgb="FFFF0000"/>
      </right>
      <top style="thin">
        <color rgb="FFFF0000"/>
      </top>
      <bottom/>
      <diagonal/>
    </border>
    <border>
      <left/>
      <right style="thin">
        <color rgb="FFFF0000"/>
      </right>
      <top/>
      <bottom style="medium">
        <color rgb="FFFF0000"/>
      </bottom>
      <diagonal/>
    </border>
    <border>
      <left/>
      <right style="medium">
        <color rgb="FFFF0000"/>
      </right>
      <top style="thin">
        <color rgb="FFFF0000"/>
      </top>
      <bottom/>
      <diagonal/>
    </border>
    <border>
      <left/>
      <right/>
      <top style="thin">
        <color rgb="FFFF0000"/>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medium">
        <color rgb="FFFF0000"/>
      </right>
      <top/>
      <bottom style="thin">
        <color rgb="FFFF0000"/>
      </bottom>
      <diagonal/>
    </border>
    <border>
      <left style="medium">
        <color rgb="FFFF0000"/>
      </left>
      <right/>
      <top style="thin">
        <color rgb="FFFF0000"/>
      </top>
      <bottom/>
      <diagonal/>
    </border>
    <border>
      <left style="thin">
        <color rgb="FFFF0000"/>
      </left>
      <right/>
      <top style="thin">
        <color rgb="FFFF0000"/>
      </top>
      <bottom/>
      <diagonal/>
    </border>
    <border>
      <left style="thin">
        <color rgb="FFFF0000"/>
      </left>
      <right/>
      <top/>
      <bottom style="thin">
        <color rgb="FFFF0000"/>
      </bottom>
      <diagonal/>
    </border>
    <border>
      <left/>
      <right style="thin">
        <color rgb="FFFF0000"/>
      </right>
      <top/>
      <bottom style="thin">
        <color rgb="FFFF0000"/>
      </bottom>
      <diagonal/>
    </border>
    <border>
      <left/>
      <right/>
      <top style="hair">
        <color indexed="64"/>
      </top>
      <bottom/>
      <diagonal/>
    </border>
    <border>
      <left/>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style="medium">
        <color indexed="64"/>
      </bottom>
      <diagonal/>
    </border>
    <border>
      <left/>
      <right/>
      <top style="medium">
        <color rgb="FFFF0000"/>
      </top>
      <bottom style="thin">
        <color theme="0"/>
      </bottom>
      <diagonal/>
    </border>
    <border>
      <left style="medium">
        <color rgb="FFFF0000"/>
      </left>
      <right/>
      <top style="medium">
        <color rgb="FFFF0000"/>
      </top>
      <bottom style="thin">
        <color theme="0"/>
      </bottom>
      <diagonal/>
    </border>
    <border>
      <left style="medium">
        <color rgb="FFFF0000"/>
      </left>
      <right/>
      <top/>
      <bottom style="thin">
        <color theme="0"/>
      </bottom>
      <diagonal/>
    </border>
    <border>
      <left/>
      <right/>
      <top/>
      <bottom style="thin">
        <color theme="0"/>
      </bottom>
      <diagonal/>
    </border>
    <border>
      <left/>
      <right style="medium">
        <color rgb="FFFF0000"/>
      </right>
      <top style="medium">
        <color rgb="FFFF0000"/>
      </top>
      <bottom style="thin">
        <color theme="0"/>
      </bottom>
      <diagonal/>
    </border>
    <border>
      <left/>
      <right style="medium">
        <color rgb="FFFF0000"/>
      </right>
      <top style="medium">
        <color rgb="FFFF0000"/>
      </top>
      <bottom style="hair">
        <color theme="0"/>
      </bottom>
      <diagonal/>
    </border>
    <border>
      <left/>
      <right/>
      <top style="medium">
        <color rgb="FFFF0000"/>
      </top>
      <bottom style="hair">
        <color theme="0"/>
      </bottom>
      <diagonal/>
    </border>
    <border>
      <left style="medium">
        <color rgb="FFFF0000"/>
      </left>
      <right/>
      <top style="medium">
        <color rgb="FFFF0000"/>
      </top>
      <bottom style="hair">
        <color theme="0"/>
      </bottom>
      <diagonal/>
    </border>
    <border>
      <left/>
      <right/>
      <top style="medium">
        <color rgb="FFFF0000"/>
      </top>
      <bottom style="hair">
        <color indexed="64"/>
      </bottom>
      <diagonal/>
    </border>
  </borders>
  <cellStyleXfs count="14">
    <xf numFmtId="0" fontId="0" fillId="0" borderId="0"/>
    <xf numFmtId="0" fontId="68" fillId="0" borderId="0" applyNumberFormat="0" applyFill="0" applyBorder="0" applyAlignment="0" applyProtection="0">
      <alignment vertical="top"/>
      <protection locked="0"/>
    </xf>
    <xf numFmtId="0" fontId="2" fillId="0" borderId="0" applyBorder="0"/>
    <xf numFmtId="0" fontId="2" fillId="0" borderId="0"/>
    <xf numFmtId="0" fontId="3" fillId="0" borderId="0"/>
    <xf numFmtId="0" fontId="2" fillId="0" borderId="0"/>
    <xf numFmtId="0" fontId="2" fillId="0" borderId="0"/>
    <xf numFmtId="0" fontId="2" fillId="0" borderId="0"/>
    <xf numFmtId="0" fontId="162" fillId="18" borderId="0" applyNumberFormat="0" applyBorder="0" applyAlignment="0" applyProtection="0"/>
    <xf numFmtId="0" fontId="163" fillId="19" borderId="0" applyNumberFormat="0" applyBorder="0" applyAlignment="0" applyProtection="0"/>
    <xf numFmtId="0" fontId="173" fillId="21" borderId="136" applyNumberFormat="0" applyAlignment="0" applyProtection="0"/>
    <xf numFmtId="9" fontId="180" fillId="0" borderId="0" applyFont="0" applyFill="0" applyBorder="0" applyAlignment="0" applyProtection="0"/>
    <xf numFmtId="44" fontId="189" fillId="0" borderId="0" applyFont="0" applyFill="0" applyBorder="0" applyAlignment="0" applyProtection="0"/>
    <xf numFmtId="9" fontId="2" fillId="0" borderId="0" applyFont="0" applyFill="0" applyBorder="0" applyAlignment="0" applyProtection="0"/>
  </cellStyleXfs>
  <cellXfs count="1605">
    <xf numFmtId="0" fontId="0" fillId="0" borderId="0" xfId="0"/>
    <xf numFmtId="0" fontId="4" fillId="0" borderId="0" xfId="4" applyFont="1" applyFill="1" applyBorder="1" applyAlignment="1" applyProtection="1">
      <alignment horizontal="right" vertical="center"/>
      <protection hidden="1"/>
    </xf>
    <xf numFmtId="0" fontId="5" fillId="0" borderId="1" xfId="4" applyFont="1" applyFill="1" applyBorder="1" applyAlignment="1" applyProtection="1">
      <alignment horizontal="centerContinuous" vertical="center"/>
      <protection hidden="1"/>
    </xf>
    <xf numFmtId="0" fontId="4" fillId="0" borderId="2" xfId="4" applyFont="1" applyFill="1" applyBorder="1" applyAlignment="1" applyProtection="1">
      <alignment vertical="center"/>
      <protection hidden="1"/>
    </xf>
    <xf numFmtId="0" fontId="4" fillId="0" borderId="0" xfId="0" applyFont="1" applyFill="1" applyProtection="1">
      <protection hidden="1"/>
    </xf>
    <xf numFmtId="0" fontId="4" fillId="0" borderId="0" xfId="4" applyFont="1" applyFill="1" applyAlignment="1" applyProtection="1">
      <alignment vertical="center"/>
      <protection hidden="1"/>
    </xf>
    <xf numFmtId="0" fontId="4" fillId="0" borderId="0" xfId="4" applyFont="1" applyFill="1" applyAlignment="1" applyProtection="1">
      <alignment horizontal="center" vertical="center"/>
      <protection hidden="1"/>
    </xf>
    <xf numFmtId="0" fontId="6" fillId="2" borderId="3" xfId="4" applyFont="1" applyFill="1" applyBorder="1" applyAlignment="1" applyProtection="1">
      <alignment horizontal="center" vertical="center"/>
      <protection locked="0"/>
    </xf>
    <xf numFmtId="0" fontId="4" fillId="0" borderId="4" xfId="4" applyFont="1" applyFill="1" applyBorder="1" applyAlignment="1" applyProtection="1">
      <alignment horizontal="right" vertical="center"/>
      <protection hidden="1"/>
    </xf>
    <xf numFmtId="165" fontId="7" fillId="0" borderId="1" xfId="4" applyNumberFormat="1" applyFont="1" applyFill="1" applyBorder="1" applyAlignment="1" applyProtection="1">
      <alignment horizontal="centerContinuous" vertical="center"/>
      <protection hidden="1"/>
    </xf>
    <xf numFmtId="0" fontId="8" fillId="0" borderId="1" xfId="0" applyFont="1" applyFill="1" applyBorder="1" applyAlignment="1" applyProtection="1">
      <alignment horizontal="center"/>
      <protection hidden="1"/>
    </xf>
    <xf numFmtId="3" fontId="6" fillId="2" borderId="3" xfId="4" applyNumberFormat="1" applyFont="1" applyFill="1" applyBorder="1" applyAlignment="1" applyProtection="1">
      <alignment horizontal="center" vertical="center"/>
      <protection locked="0"/>
    </xf>
    <xf numFmtId="0" fontId="15" fillId="3" borderId="0" xfId="0" applyFont="1" applyFill="1" applyAlignment="1" applyProtection="1">
      <alignment horizontal="centerContinuous"/>
      <protection hidden="1"/>
    </xf>
    <xf numFmtId="0" fontId="16" fillId="3" borderId="0" xfId="0" applyFont="1" applyFill="1" applyAlignment="1" applyProtection="1">
      <alignment horizontal="centerContinuous"/>
      <protection hidden="1"/>
    </xf>
    <xf numFmtId="0" fontId="16" fillId="3" borderId="0" xfId="0" applyFont="1" applyFill="1" applyProtection="1">
      <protection hidden="1"/>
    </xf>
    <xf numFmtId="0" fontId="10" fillId="3" borderId="0" xfId="0" applyFont="1" applyFill="1" applyAlignment="1" applyProtection="1">
      <alignment horizontal="centerContinuous"/>
      <protection hidden="1"/>
    </xf>
    <xf numFmtId="0" fontId="17" fillId="3" borderId="0" xfId="0" applyFont="1" applyFill="1" applyAlignment="1" applyProtection="1">
      <alignment horizontal="centerContinuous"/>
      <protection hidden="1"/>
    </xf>
    <xf numFmtId="0" fontId="17" fillId="3" borderId="0" xfId="0" applyFont="1" applyFill="1" applyProtection="1">
      <protection hidden="1"/>
    </xf>
    <xf numFmtId="0" fontId="18" fillId="3" borderId="0" xfId="0" applyFont="1" applyFill="1" applyProtection="1">
      <protection hidden="1"/>
    </xf>
    <xf numFmtId="3" fontId="18" fillId="3" borderId="0" xfId="0" applyNumberFormat="1" applyFont="1" applyFill="1" applyAlignment="1" applyProtection="1">
      <alignment horizontal="center"/>
      <protection hidden="1"/>
    </xf>
    <xf numFmtId="166" fontId="18" fillId="3" borderId="0" xfId="0" applyNumberFormat="1" applyFont="1" applyFill="1" applyAlignment="1" applyProtection="1">
      <alignment horizontal="center"/>
      <protection hidden="1"/>
    </xf>
    <xf numFmtId="165" fontId="18" fillId="3" borderId="0" xfId="0" applyNumberFormat="1" applyFont="1" applyFill="1" applyAlignment="1" applyProtection="1">
      <alignment horizontal="center"/>
      <protection hidden="1"/>
    </xf>
    <xf numFmtId="0" fontId="18" fillId="3" borderId="0" xfId="0" applyFont="1" applyFill="1" applyAlignment="1" applyProtection="1">
      <alignment horizontal="centerContinuous"/>
      <protection hidden="1"/>
    </xf>
    <xf numFmtId="0" fontId="4" fillId="0" borderId="0" xfId="4" applyFont="1" applyFill="1" applyBorder="1" applyAlignment="1" applyProtection="1">
      <alignment vertical="center"/>
      <protection hidden="1"/>
    </xf>
    <xf numFmtId="0" fontId="4" fillId="0" borderId="1" xfId="4" applyFont="1" applyFill="1" applyBorder="1" applyAlignment="1" applyProtection="1">
      <alignment horizontal="right" vertical="center"/>
      <protection hidden="1"/>
    </xf>
    <xf numFmtId="0" fontId="13" fillId="0" borderId="0" xfId="4" applyFont="1" applyFill="1" applyBorder="1" applyAlignment="1" applyProtection="1">
      <alignment horizontal="right" vertical="center"/>
      <protection hidden="1"/>
    </xf>
    <xf numFmtId="0" fontId="10" fillId="0" borderId="1" xfId="4" applyFont="1" applyFill="1" applyBorder="1" applyAlignment="1" applyProtection="1">
      <alignment horizontal="centerContinuous" vertical="center"/>
      <protection hidden="1"/>
    </xf>
    <xf numFmtId="14" fontId="6" fillId="2" borderId="6" xfId="0" applyNumberFormat="1" applyFont="1" applyFill="1" applyBorder="1" applyAlignment="1" applyProtection="1">
      <alignment horizontal="centerContinuous"/>
      <protection locked="0"/>
    </xf>
    <xf numFmtId="0" fontId="22" fillId="0" borderId="0" xfId="0" applyFont="1" applyFill="1" applyProtection="1">
      <protection hidden="1"/>
    </xf>
    <xf numFmtId="0" fontId="22" fillId="0" borderId="0" xfId="4" applyFont="1" applyFill="1" applyAlignment="1" applyProtection="1">
      <alignment vertical="center"/>
      <protection hidden="1"/>
    </xf>
    <xf numFmtId="0" fontId="8" fillId="0" borderId="7" xfId="0" applyFont="1" applyFill="1" applyBorder="1" applyAlignment="1" applyProtection="1">
      <alignment horizontal="center"/>
      <protection hidden="1"/>
    </xf>
    <xf numFmtId="0" fontId="4" fillId="0" borderId="8" xfId="4" applyFont="1" applyFill="1" applyBorder="1" applyAlignment="1" applyProtection="1">
      <alignment vertical="center"/>
      <protection hidden="1"/>
    </xf>
    <xf numFmtId="0" fontId="4" fillId="0" borderId="9" xfId="4" applyFont="1" applyFill="1" applyBorder="1" applyAlignment="1" applyProtection="1">
      <alignment vertical="center"/>
      <protection hidden="1"/>
    </xf>
    <xf numFmtId="0" fontId="8" fillId="0" borderId="10" xfId="0" applyFont="1" applyFill="1" applyBorder="1" applyAlignment="1" applyProtection="1">
      <alignment horizontal="center"/>
      <protection hidden="1"/>
    </xf>
    <xf numFmtId="0" fontId="4" fillId="0" borderId="10" xfId="4" applyFont="1" applyFill="1" applyBorder="1" applyAlignment="1" applyProtection="1">
      <alignment horizontal="right" vertical="center"/>
      <protection hidden="1"/>
    </xf>
    <xf numFmtId="0" fontId="4" fillId="0" borderId="10" xfId="4" applyFont="1" applyFill="1" applyBorder="1" applyAlignment="1" applyProtection="1">
      <alignment vertical="center"/>
      <protection hidden="1"/>
    </xf>
    <xf numFmtId="0" fontId="15" fillId="0" borderId="10" xfId="4" applyFont="1" applyFill="1" applyBorder="1" applyAlignment="1" applyProtection="1">
      <alignment horizontal="left" vertical="center"/>
      <protection hidden="1"/>
    </xf>
    <xf numFmtId="167" fontId="16" fillId="0" borderId="10" xfId="4" applyNumberFormat="1" applyFont="1" applyFill="1" applyBorder="1" applyAlignment="1" applyProtection="1">
      <alignment horizontal="right" vertical="center"/>
      <protection hidden="1"/>
    </xf>
    <xf numFmtId="0" fontId="12" fillId="0" borderId="10" xfId="4" applyFont="1" applyFill="1" applyBorder="1" applyAlignment="1" applyProtection="1">
      <alignment horizontal="center" vertical="center"/>
      <protection hidden="1"/>
    </xf>
    <xf numFmtId="3" fontId="14" fillId="0" borderId="10" xfId="4" applyNumberFormat="1" applyFont="1" applyFill="1" applyBorder="1" applyAlignment="1" applyProtection="1">
      <alignment horizontal="right" vertical="center"/>
      <protection hidden="1"/>
    </xf>
    <xf numFmtId="165" fontId="14" fillId="0" borderId="10" xfId="4" applyNumberFormat="1" applyFont="1" applyFill="1" applyBorder="1" applyAlignment="1" applyProtection="1">
      <alignment horizontal="center" vertical="center"/>
      <protection hidden="1"/>
    </xf>
    <xf numFmtId="0" fontId="23" fillId="0" borderId="1" xfId="0" applyFont="1" applyFill="1" applyBorder="1" applyAlignment="1" applyProtection="1">
      <alignment horizontal="center"/>
      <protection hidden="1"/>
    </xf>
    <xf numFmtId="0" fontId="20" fillId="0" borderId="2" xfId="4" applyFont="1" applyFill="1" applyBorder="1" applyAlignment="1" applyProtection="1">
      <alignment vertical="center"/>
      <protection hidden="1"/>
    </xf>
    <xf numFmtId="165" fontId="15" fillId="3" borderId="0" xfId="0" applyNumberFormat="1" applyFont="1" applyFill="1" applyAlignment="1" applyProtection="1">
      <alignment horizontal="center"/>
      <protection hidden="1"/>
    </xf>
    <xf numFmtId="0" fontId="12" fillId="0" borderId="1" xfId="4" applyFont="1" applyFill="1" applyBorder="1" applyAlignment="1" applyProtection="1">
      <alignment horizontal="left" vertical="center"/>
      <protection hidden="1"/>
    </xf>
    <xf numFmtId="0" fontId="5" fillId="0" borderId="11" xfId="4" applyFont="1" applyFill="1" applyBorder="1" applyAlignment="1" applyProtection="1">
      <alignment horizontal="centerContinuous" vertical="center"/>
      <protection hidden="1"/>
    </xf>
    <xf numFmtId="0" fontId="4" fillId="0" borderId="11" xfId="4" applyFont="1" applyFill="1" applyBorder="1" applyAlignment="1" applyProtection="1">
      <alignment horizontal="center" vertical="center"/>
      <protection hidden="1"/>
    </xf>
    <xf numFmtId="0" fontId="4" fillId="0" borderId="12" xfId="4" applyFont="1" applyFill="1" applyBorder="1" applyAlignment="1" applyProtection="1">
      <alignment vertical="center"/>
      <protection hidden="1"/>
    </xf>
    <xf numFmtId="165" fontId="30" fillId="0" borderId="2" xfId="4" applyNumberFormat="1" applyFont="1" applyFill="1" applyBorder="1" applyAlignment="1" applyProtection="1">
      <alignment horizontal="center" vertical="center"/>
      <protection hidden="1"/>
    </xf>
    <xf numFmtId="169" fontId="6" fillId="0" borderId="13" xfId="4" applyNumberFormat="1" applyFont="1" applyFill="1" applyBorder="1" applyAlignment="1" applyProtection="1">
      <alignment horizontal="center" vertical="center"/>
      <protection hidden="1"/>
    </xf>
    <xf numFmtId="169" fontId="6" fillId="0" borderId="3" xfId="4" applyNumberFormat="1" applyFont="1" applyFill="1" applyBorder="1" applyAlignment="1" applyProtection="1">
      <alignment horizontal="center" vertical="center"/>
      <protection hidden="1"/>
    </xf>
    <xf numFmtId="169" fontId="6" fillId="0" borderId="14" xfId="4" applyNumberFormat="1" applyFont="1" applyFill="1" applyBorder="1" applyAlignment="1" applyProtection="1">
      <alignment horizontal="center" vertical="center"/>
      <protection hidden="1"/>
    </xf>
    <xf numFmtId="169" fontId="6" fillId="0" borderId="15" xfId="4" applyNumberFormat="1" applyFont="1" applyFill="1" applyBorder="1" applyAlignment="1" applyProtection="1">
      <alignment horizontal="center" vertical="center"/>
      <protection hidden="1"/>
    </xf>
    <xf numFmtId="2" fontId="13" fillId="0" borderId="0" xfId="0" applyNumberFormat="1" applyFont="1" applyProtection="1">
      <protection hidden="1"/>
    </xf>
    <xf numFmtId="2" fontId="13" fillId="0" borderId="16" xfId="0" applyNumberFormat="1" applyFont="1" applyFill="1" applyBorder="1" applyAlignment="1">
      <alignment horizontal="center"/>
    </xf>
    <xf numFmtId="2" fontId="0" fillId="0" borderId="0" xfId="0" applyNumberFormat="1"/>
    <xf numFmtId="2" fontId="0" fillId="0" borderId="11" xfId="0" applyNumberFormat="1" applyBorder="1"/>
    <xf numFmtId="2" fontId="29" fillId="0" borderId="4" xfId="0" applyNumberFormat="1" applyFont="1" applyFill="1" applyBorder="1"/>
    <xf numFmtId="2" fontId="12" fillId="0" borderId="19" xfId="0" applyNumberFormat="1" applyFont="1" applyBorder="1" applyAlignment="1">
      <alignment horizontal="center"/>
    </xf>
    <xf numFmtId="2" fontId="0" fillId="0" borderId="20" xfId="0" applyNumberFormat="1" applyBorder="1" applyAlignment="1">
      <alignment horizontal="center"/>
    </xf>
    <xf numFmtId="2" fontId="11" fillId="0" borderId="0" xfId="0" applyNumberFormat="1" applyFont="1"/>
    <xf numFmtId="2" fontId="11" fillId="0" borderId="14" xfId="0" applyNumberFormat="1" applyFont="1" applyBorder="1"/>
    <xf numFmtId="2" fontId="0" fillId="0" borderId="4" xfId="0" applyNumberFormat="1" applyBorder="1"/>
    <xf numFmtId="2" fontId="12" fillId="0" borderId="21" xfId="0" applyNumberFormat="1" applyFont="1" applyBorder="1" applyAlignment="1">
      <alignment horizontal="center"/>
    </xf>
    <xf numFmtId="2" fontId="0" fillId="0" borderId="7" xfId="0" applyNumberFormat="1" applyBorder="1"/>
    <xf numFmtId="2" fontId="12" fillId="0" borderId="22" xfId="0" applyNumberFormat="1" applyFont="1" applyBorder="1"/>
    <xf numFmtId="2" fontId="12" fillId="0" borderId="8" xfId="0" applyNumberFormat="1" applyFont="1" applyBorder="1" applyAlignment="1">
      <alignment horizontal="center"/>
    </xf>
    <xf numFmtId="2" fontId="0" fillId="0" borderId="16" xfId="0" applyNumberFormat="1" applyBorder="1" applyAlignment="1">
      <alignment horizontal="center"/>
    </xf>
    <xf numFmtId="2" fontId="13" fillId="0" borderId="23" xfId="0" applyNumberFormat="1" applyFont="1" applyBorder="1"/>
    <xf numFmtId="2" fontId="0" fillId="0" borderId="24" xfId="0" applyNumberFormat="1" applyFill="1" applyBorder="1" applyAlignment="1">
      <alignment horizontal="center"/>
    </xf>
    <xf numFmtId="2" fontId="0" fillId="0" borderId="25" xfId="0" applyNumberFormat="1" applyFill="1" applyBorder="1" applyAlignment="1">
      <alignment horizontal="center"/>
    </xf>
    <xf numFmtId="2" fontId="13" fillId="0" borderId="26" xfId="0" applyNumberFormat="1" applyFont="1" applyBorder="1"/>
    <xf numFmtId="2" fontId="0" fillId="0" borderId="27" xfId="0" applyNumberFormat="1" applyFill="1" applyBorder="1" applyAlignment="1">
      <alignment horizontal="center"/>
    </xf>
    <xf numFmtId="2" fontId="0" fillId="0" borderId="18" xfId="0" applyNumberFormat="1" applyBorder="1" applyAlignment="1">
      <alignment horizontal="center"/>
    </xf>
    <xf numFmtId="2" fontId="13" fillId="0" borderId="22" xfId="0" applyNumberFormat="1" applyFont="1" applyBorder="1"/>
    <xf numFmtId="2" fontId="0" fillId="0" borderId="8" xfId="0" applyNumberFormat="1" applyFill="1" applyBorder="1" applyAlignment="1">
      <alignment horizontal="center"/>
    </xf>
    <xf numFmtId="2" fontId="12" fillId="0" borderId="29" xfId="0" applyNumberFormat="1" applyFont="1" applyBorder="1"/>
    <xf numFmtId="2" fontId="12" fillId="0" borderId="22" xfId="0" applyNumberFormat="1" applyFont="1" applyFill="1" applyBorder="1" applyAlignment="1">
      <alignment horizontal="left"/>
    </xf>
    <xf numFmtId="2" fontId="12" fillId="0" borderId="8" xfId="0" applyNumberFormat="1" applyFont="1" applyFill="1" applyBorder="1" applyAlignment="1">
      <alignment horizontal="center"/>
    </xf>
    <xf numFmtId="2" fontId="0" fillId="0" borderId="0" xfId="0" applyNumberFormat="1" applyBorder="1"/>
    <xf numFmtId="2" fontId="0" fillId="0" borderId="0" xfId="0" applyNumberFormat="1" applyFill="1" applyBorder="1" applyAlignment="1">
      <alignment horizontal="center"/>
    </xf>
    <xf numFmtId="2" fontId="29" fillId="0" borderId="0" xfId="0" applyNumberFormat="1" applyFont="1" applyAlignment="1" applyProtection="1">
      <alignment horizontal="center"/>
      <protection hidden="1"/>
    </xf>
    <xf numFmtId="2" fontId="19" fillId="0" borderId="0" xfId="0" applyNumberFormat="1" applyFont="1"/>
    <xf numFmtId="173" fontId="16" fillId="3" borderId="0" xfId="0" applyNumberFormat="1" applyFont="1" applyFill="1" applyAlignment="1" applyProtection="1">
      <protection hidden="1"/>
    </xf>
    <xf numFmtId="173" fontId="16" fillId="3" borderId="0" xfId="0" applyNumberFormat="1" applyFont="1" applyFill="1" applyProtection="1">
      <protection hidden="1"/>
    </xf>
    <xf numFmtId="173" fontId="16" fillId="3" borderId="0" xfId="0" applyNumberFormat="1" applyFont="1" applyFill="1" applyAlignment="1" applyProtection="1">
      <alignment horizontal="centerContinuous"/>
      <protection hidden="1"/>
    </xf>
    <xf numFmtId="173" fontId="17" fillId="3" borderId="0" xfId="0" applyNumberFormat="1" applyFont="1" applyFill="1" applyProtection="1">
      <protection hidden="1"/>
    </xf>
    <xf numFmtId="0" fontId="32" fillId="3" borderId="0" xfId="0" applyFont="1" applyFill="1" applyBorder="1" applyProtection="1">
      <protection hidden="1"/>
    </xf>
    <xf numFmtId="0" fontId="13" fillId="3" borderId="0" xfId="0" applyFont="1" applyFill="1" applyProtection="1">
      <protection hidden="1"/>
    </xf>
    <xf numFmtId="0" fontId="12" fillId="3" borderId="0" xfId="0" applyFont="1" applyFill="1" applyProtection="1">
      <protection hidden="1"/>
    </xf>
    <xf numFmtId="0" fontId="13" fillId="3" borderId="0" xfId="0" applyFont="1" applyFill="1" applyAlignment="1" applyProtection="1">
      <alignment horizontal="justify" wrapText="1"/>
      <protection hidden="1"/>
    </xf>
    <xf numFmtId="0" fontId="13" fillId="3" borderId="0" xfId="0" applyFont="1" applyFill="1" applyAlignment="1" applyProtection="1">
      <alignment horizontal="justify"/>
      <protection hidden="1"/>
    </xf>
    <xf numFmtId="0" fontId="12" fillId="3" borderId="0" xfId="0" applyFont="1" applyFill="1" applyAlignment="1" applyProtection="1">
      <alignment horizontal="justify"/>
      <protection hidden="1"/>
    </xf>
    <xf numFmtId="0" fontId="12" fillId="4" borderId="30" xfId="0" applyFont="1" applyFill="1" applyBorder="1" applyAlignment="1" applyProtection="1">
      <alignment horizontal="justify"/>
      <protection hidden="1"/>
    </xf>
    <xf numFmtId="0" fontId="12" fillId="4" borderId="31" xfId="0" applyFont="1" applyFill="1" applyBorder="1" applyAlignment="1" applyProtection="1">
      <alignment horizontal="justify"/>
      <protection hidden="1"/>
    </xf>
    <xf numFmtId="0" fontId="13" fillId="0" borderId="32" xfId="0" applyFont="1" applyFill="1" applyBorder="1" applyAlignment="1" applyProtection="1">
      <alignment horizontal="justify"/>
      <protection hidden="1"/>
    </xf>
    <xf numFmtId="0" fontId="13" fillId="0" borderId="19" xfId="0" applyFont="1" applyFill="1" applyBorder="1" applyAlignment="1" applyProtection="1">
      <alignment horizontal="justify"/>
      <protection hidden="1"/>
    </xf>
    <xf numFmtId="0" fontId="12" fillId="0" borderId="9" xfId="0" applyFont="1" applyFill="1" applyBorder="1" applyAlignment="1" applyProtection="1">
      <alignment horizontal="justify"/>
      <protection hidden="1"/>
    </xf>
    <xf numFmtId="0" fontId="13" fillId="4" borderId="32" xfId="0" applyFont="1" applyFill="1" applyBorder="1" applyAlignment="1" applyProtection="1">
      <alignment horizontal="justify"/>
      <protection hidden="1"/>
    </xf>
    <xf numFmtId="0" fontId="13" fillId="0" borderId="0" xfId="0" applyFont="1" applyFill="1" applyAlignment="1" applyProtection="1">
      <alignment horizontal="justify"/>
      <protection hidden="1"/>
    </xf>
    <xf numFmtId="0" fontId="12" fillId="0" borderId="32" xfId="0" applyFont="1" applyFill="1" applyBorder="1" applyAlignment="1" applyProtection="1">
      <alignment horizontal="justify"/>
      <protection hidden="1"/>
    </xf>
    <xf numFmtId="0" fontId="12" fillId="4" borderId="32" xfId="0" applyFont="1" applyFill="1" applyBorder="1" applyAlignment="1" applyProtection="1">
      <alignment horizontal="justify"/>
      <protection hidden="1"/>
    </xf>
    <xf numFmtId="0" fontId="12" fillId="0" borderId="19" xfId="0" applyFont="1" applyFill="1" applyBorder="1" applyAlignment="1" applyProtection="1">
      <alignment horizontal="justify"/>
      <protection hidden="1"/>
    </xf>
    <xf numFmtId="0" fontId="13" fillId="3" borderId="1" xfId="0" applyFont="1" applyFill="1" applyBorder="1" applyAlignment="1" applyProtection="1">
      <alignment horizontal="justify"/>
      <protection hidden="1"/>
    </xf>
    <xf numFmtId="0" fontId="13" fillId="0" borderId="0" xfId="0" applyFont="1" applyFill="1" applyBorder="1" applyAlignment="1" applyProtection="1">
      <alignment horizontal="justify"/>
      <protection hidden="1"/>
    </xf>
    <xf numFmtId="0" fontId="13" fillId="0" borderId="9" xfId="0" applyFont="1" applyFill="1" applyBorder="1" applyAlignment="1" applyProtection="1">
      <alignment horizontal="justify"/>
      <protection hidden="1"/>
    </xf>
    <xf numFmtId="0" fontId="13" fillId="4" borderId="19" xfId="0" applyFont="1" applyFill="1" applyBorder="1" applyAlignment="1" applyProtection="1">
      <alignment horizontal="justify"/>
      <protection hidden="1"/>
    </xf>
    <xf numFmtId="0" fontId="12" fillId="4" borderId="19" xfId="0" applyFont="1" applyFill="1" applyBorder="1" applyAlignment="1" applyProtection="1">
      <alignment horizontal="justify"/>
      <protection hidden="1"/>
    </xf>
    <xf numFmtId="0" fontId="13" fillId="0" borderId="33" xfId="0" applyFont="1" applyFill="1" applyBorder="1" applyAlignment="1" applyProtection="1">
      <alignment horizontal="justify"/>
      <protection hidden="1"/>
    </xf>
    <xf numFmtId="0" fontId="13" fillId="3" borderId="0" xfId="0" applyFont="1" applyFill="1" applyBorder="1" applyAlignment="1" applyProtection="1">
      <alignment horizontal="justify"/>
      <protection hidden="1"/>
    </xf>
    <xf numFmtId="0" fontId="13" fillId="0" borderId="21" xfId="0" applyFont="1" applyFill="1" applyBorder="1" applyAlignment="1" applyProtection="1">
      <alignment horizontal="justify"/>
      <protection hidden="1"/>
    </xf>
    <xf numFmtId="0" fontId="12" fillId="0" borderId="2" xfId="0" applyFont="1" applyFill="1" applyBorder="1" applyAlignment="1" applyProtection="1">
      <alignment horizontal="justify"/>
      <protection hidden="1"/>
    </xf>
    <xf numFmtId="0" fontId="12" fillId="4" borderId="2" xfId="0" applyFont="1" applyFill="1" applyBorder="1" applyAlignment="1" applyProtection="1">
      <alignment horizontal="justify"/>
      <protection hidden="1"/>
    </xf>
    <xf numFmtId="0" fontId="12" fillId="4" borderId="21" xfId="0" applyFont="1" applyFill="1" applyBorder="1" applyAlignment="1" applyProtection="1">
      <alignment horizontal="justify"/>
      <protection hidden="1"/>
    </xf>
    <xf numFmtId="0" fontId="13" fillId="3" borderId="0" xfId="0" applyFont="1" applyFill="1" applyAlignment="1" applyProtection="1">
      <alignment horizontal="centerContinuous"/>
      <protection hidden="1"/>
    </xf>
    <xf numFmtId="0" fontId="13" fillId="0" borderId="0" xfId="0" applyFont="1" applyFill="1" applyProtection="1">
      <protection hidden="1"/>
    </xf>
    <xf numFmtId="0" fontId="12" fillId="0" borderId="0" xfId="0" applyFont="1" applyFill="1" applyProtection="1">
      <protection hidden="1"/>
    </xf>
    <xf numFmtId="0" fontId="32" fillId="3" borderId="0" xfId="0" applyFont="1" applyFill="1" applyProtection="1">
      <protection hidden="1"/>
    </xf>
    <xf numFmtId="0" fontId="32" fillId="3" borderId="0" xfId="0" applyFont="1" applyFill="1" applyBorder="1" applyAlignment="1" applyProtection="1">
      <alignment horizontal="center"/>
      <protection hidden="1"/>
    </xf>
    <xf numFmtId="0" fontId="32" fillId="3" borderId="0" xfId="0" applyFont="1" applyFill="1" applyBorder="1" applyAlignment="1" applyProtection="1">
      <alignment horizontal="left"/>
      <protection hidden="1"/>
    </xf>
    <xf numFmtId="0" fontId="15" fillId="3" borderId="0" xfId="0" applyFont="1" applyFill="1" applyBorder="1" applyAlignment="1" applyProtection="1">
      <alignment horizontal="center"/>
      <protection hidden="1"/>
    </xf>
    <xf numFmtId="0" fontId="32" fillId="0" borderId="0" xfId="0" applyFont="1" applyProtection="1">
      <protection hidden="1"/>
    </xf>
    <xf numFmtId="0" fontId="26" fillId="4" borderId="30" xfId="0" applyFont="1" applyFill="1" applyBorder="1" applyProtection="1">
      <protection hidden="1"/>
    </xf>
    <xf numFmtId="0" fontId="26" fillId="4" borderId="31" xfId="0" applyFont="1" applyFill="1" applyBorder="1" applyAlignment="1" applyProtection="1">
      <alignment horizontal="center"/>
      <protection hidden="1"/>
    </xf>
    <xf numFmtId="0" fontId="26" fillId="3" borderId="0" xfId="0" applyFont="1" applyFill="1" applyBorder="1" applyAlignment="1" applyProtection="1">
      <alignment horizontal="left"/>
      <protection hidden="1"/>
    </xf>
    <xf numFmtId="0" fontId="26" fillId="4" borderId="30" xfId="0" applyFont="1" applyFill="1" applyBorder="1" applyAlignment="1" applyProtection="1">
      <alignment horizontal="center"/>
      <protection hidden="1"/>
    </xf>
    <xf numFmtId="0" fontId="32" fillId="3" borderId="32" xfId="0" applyFont="1" applyFill="1" applyBorder="1" applyProtection="1">
      <protection hidden="1"/>
    </xf>
    <xf numFmtId="0" fontId="32" fillId="3" borderId="21" xfId="0" applyFont="1" applyFill="1" applyBorder="1" applyAlignment="1" applyProtection="1">
      <alignment horizontal="center"/>
      <protection hidden="1"/>
    </xf>
    <xf numFmtId="0" fontId="32" fillId="3" borderId="2" xfId="0" applyFont="1" applyFill="1" applyBorder="1" applyAlignment="1" applyProtection="1">
      <alignment horizontal="center"/>
      <protection hidden="1"/>
    </xf>
    <xf numFmtId="0" fontId="32" fillId="4" borderId="32" xfId="0" applyFont="1" applyFill="1" applyBorder="1" applyProtection="1">
      <protection hidden="1"/>
    </xf>
    <xf numFmtId="0" fontId="32" fillId="4" borderId="32" xfId="0" applyFont="1" applyFill="1" applyBorder="1" applyAlignment="1" applyProtection="1">
      <alignment horizontal="center"/>
      <protection hidden="1"/>
    </xf>
    <xf numFmtId="0" fontId="32" fillId="3" borderId="32" xfId="0" applyFont="1" applyFill="1" applyBorder="1" applyAlignment="1" applyProtection="1">
      <alignment horizontal="center"/>
      <protection hidden="1"/>
    </xf>
    <xf numFmtId="0" fontId="32" fillId="4" borderId="2" xfId="0" applyFont="1" applyFill="1" applyBorder="1" applyAlignment="1" applyProtection="1">
      <alignment horizontal="center"/>
      <protection hidden="1"/>
    </xf>
    <xf numFmtId="0" fontId="32" fillId="4" borderId="19" xfId="0" applyFont="1" applyFill="1" applyBorder="1" applyProtection="1">
      <protection hidden="1"/>
    </xf>
    <xf numFmtId="0" fontId="32" fillId="4" borderId="19" xfId="0" applyFont="1" applyFill="1" applyBorder="1" applyAlignment="1" applyProtection="1">
      <alignment horizontal="center"/>
      <protection hidden="1"/>
    </xf>
    <xf numFmtId="0" fontId="32" fillId="0" borderId="2" xfId="0" applyFont="1" applyFill="1" applyBorder="1" applyAlignment="1" applyProtection="1">
      <alignment horizontal="center"/>
      <protection hidden="1"/>
    </xf>
    <xf numFmtId="0" fontId="32" fillId="3" borderId="21" xfId="0" applyFont="1" applyFill="1" applyBorder="1" applyProtection="1">
      <protection hidden="1"/>
    </xf>
    <xf numFmtId="0" fontId="32" fillId="3" borderId="19" xfId="0" applyFont="1" applyFill="1" applyBorder="1" applyProtection="1">
      <protection hidden="1"/>
    </xf>
    <xf numFmtId="0" fontId="32" fillId="3" borderId="19" xfId="0" applyFont="1" applyFill="1" applyBorder="1" applyAlignment="1" applyProtection="1">
      <alignment horizontal="center"/>
      <protection hidden="1"/>
    </xf>
    <xf numFmtId="0" fontId="32" fillId="3" borderId="9" xfId="0" applyFont="1" applyFill="1" applyBorder="1" applyAlignment="1" applyProtection="1">
      <alignment horizontal="center"/>
      <protection hidden="1"/>
    </xf>
    <xf numFmtId="0" fontId="26" fillId="4" borderId="21" xfId="0" applyFont="1" applyFill="1" applyBorder="1" applyProtection="1">
      <protection hidden="1"/>
    </xf>
    <xf numFmtId="0" fontId="26" fillId="4" borderId="21" xfId="0" applyFont="1" applyFill="1" applyBorder="1" applyAlignment="1" applyProtection="1">
      <alignment horizontal="center"/>
      <protection hidden="1"/>
    </xf>
    <xf numFmtId="0" fontId="26" fillId="4" borderId="34" xfId="0" applyFont="1" applyFill="1" applyBorder="1" applyProtection="1">
      <protection hidden="1"/>
    </xf>
    <xf numFmtId="0" fontId="32" fillId="3" borderId="1" xfId="0" applyFont="1" applyFill="1" applyBorder="1" applyProtection="1">
      <protection hidden="1"/>
    </xf>
    <xf numFmtId="0" fontId="32" fillId="4" borderId="1" xfId="0" applyFont="1" applyFill="1" applyBorder="1" applyProtection="1">
      <protection hidden="1"/>
    </xf>
    <xf numFmtId="0" fontId="32" fillId="0" borderId="32" xfId="0" applyFont="1" applyFill="1" applyBorder="1" applyProtection="1">
      <protection hidden="1"/>
    </xf>
    <xf numFmtId="0" fontId="32" fillId="4" borderId="7" xfId="0" applyFont="1" applyFill="1" applyBorder="1" applyProtection="1">
      <protection hidden="1"/>
    </xf>
    <xf numFmtId="0" fontId="32" fillId="4" borderId="30" xfId="0" applyFont="1" applyFill="1" applyBorder="1" applyProtection="1">
      <protection hidden="1"/>
    </xf>
    <xf numFmtId="0" fontId="32" fillId="0" borderId="19" xfId="0" applyFont="1" applyFill="1" applyBorder="1" applyProtection="1">
      <protection hidden="1"/>
    </xf>
    <xf numFmtId="0" fontId="32" fillId="0" borderId="32" xfId="0" applyFont="1" applyFill="1" applyBorder="1" applyAlignment="1" applyProtection="1">
      <alignment horizontal="center"/>
      <protection hidden="1"/>
    </xf>
    <xf numFmtId="0" fontId="32" fillId="4" borderId="30" xfId="0" applyFont="1" applyFill="1" applyBorder="1" applyAlignment="1" applyProtection="1">
      <alignment horizontal="center"/>
      <protection hidden="1"/>
    </xf>
    <xf numFmtId="0" fontId="32" fillId="0" borderId="19" xfId="0" applyFont="1" applyFill="1" applyBorder="1" applyAlignment="1" applyProtection="1">
      <alignment horizontal="center"/>
      <protection hidden="1"/>
    </xf>
    <xf numFmtId="0" fontId="32" fillId="0" borderId="21" xfId="0" applyFont="1" applyFill="1" applyBorder="1" applyProtection="1">
      <protection hidden="1"/>
    </xf>
    <xf numFmtId="0" fontId="15" fillId="3" borderId="0" xfId="0" applyFont="1" applyFill="1" applyProtection="1">
      <protection hidden="1"/>
    </xf>
    <xf numFmtId="0" fontId="13" fillId="0" borderId="35" xfId="0" applyFont="1" applyFill="1" applyBorder="1" applyAlignment="1">
      <alignment horizontal="center"/>
    </xf>
    <xf numFmtId="0" fontId="13" fillId="0" borderId="7" xfId="0" applyFont="1" applyFill="1" applyBorder="1" applyAlignment="1">
      <alignment horizontal="center"/>
    </xf>
    <xf numFmtId="0" fontId="0" fillId="0" borderId="25" xfId="0" applyFill="1" applyBorder="1" applyAlignment="1">
      <alignment horizontal="center"/>
    </xf>
    <xf numFmtId="0" fontId="0" fillId="0" borderId="36" xfId="0" applyFill="1" applyBorder="1" applyAlignment="1">
      <alignment horizontal="center"/>
    </xf>
    <xf numFmtId="0" fontId="0" fillId="0" borderId="33" xfId="0" applyFill="1" applyBorder="1" applyAlignment="1">
      <alignment horizontal="center"/>
    </xf>
    <xf numFmtId="0" fontId="13" fillId="0" borderId="0" xfId="0" applyFont="1" applyFill="1" applyBorder="1" applyAlignment="1">
      <alignment horizontal="center"/>
    </xf>
    <xf numFmtId="2" fontId="0" fillId="0" borderId="0" xfId="0" applyNumberFormat="1" applyFill="1"/>
    <xf numFmtId="0" fontId="0" fillId="0" borderId="0" xfId="0" applyFill="1"/>
    <xf numFmtId="0" fontId="0" fillId="0" borderId="0" xfId="0" applyFill="1" applyBorder="1"/>
    <xf numFmtId="0" fontId="35" fillId="0" borderId="0" xfId="0" applyFont="1" applyFill="1"/>
    <xf numFmtId="0" fontId="35" fillId="0" borderId="0" xfId="0" applyFont="1" applyFill="1" applyBorder="1"/>
    <xf numFmtId="0" fontId="39" fillId="0" borderId="0" xfId="0" applyFont="1" applyFill="1" applyBorder="1" applyAlignment="1">
      <alignment horizontal="left"/>
    </xf>
    <xf numFmtId="0" fontId="40" fillId="0" borderId="37" xfId="0" applyFont="1" applyFill="1" applyBorder="1"/>
    <xf numFmtId="0" fontId="41" fillId="0" borderId="0" xfId="2" applyFont="1" applyFill="1" applyBorder="1" applyAlignment="1" applyProtection="1">
      <alignment horizontal="left"/>
    </xf>
    <xf numFmtId="0" fontId="31" fillId="0" borderId="0" xfId="0" applyFont="1" applyFill="1" applyBorder="1" applyAlignment="1">
      <alignment horizontal="justify"/>
    </xf>
    <xf numFmtId="0" fontId="36" fillId="0" borderId="38" xfId="0" applyFont="1" applyFill="1" applyBorder="1" applyAlignment="1">
      <alignment horizontal="center"/>
    </xf>
    <xf numFmtId="0" fontId="36" fillId="0" borderId="39" xfId="0" applyFont="1" applyFill="1" applyBorder="1" applyAlignment="1">
      <alignment horizontal="center"/>
    </xf>
    <xf numFmtId="0" fontId="36" fillId="0" borderId="40" xfId="0" applyFont="1" applyFill="1" applyBorder="1" applyAlignment="1">
      <alignment horizontal="center"/>
    </xf>
    <xf numFmtId="0" fontId="37" fillId="0" borderId="41" xfId="0" applyFont="1" applyFill="1" applyBorder="1" applyAlignment="1"/>
    <xf numFmtId="0" fontId="37" fillId="0" borderId="34" xfId="0" applyFont="1" applyFill="1" applyBorder="1" applyAlignment="1">
      <alignment horizontal="center"/>
    </xf>
    <xf numFmtId="0" fontId="36" fillId="0" borderId="34" xfId="0" applyFont="1" applyFill="1" applyBorder="1" applyAlignment="1">
      <alignment horizontal="center"/>
    </xf>
    <xf numFmtId="0" fontId="36" fillId="0" borderId="10" xfId="0" applyFont="1" applyFill="1" applyBorder="1" applyAlignment="1">
      <alignment horizontal="center"/>
    </xf>
    <xf numFmtId="0" fontId="36" fillId="0" borderId="31" xfId="0" applyFont="1" applyFill="1" applyBorder="1" applyAlignment="1">
      <alignment horizontal="center"/>
    </xf>
    <xf numFmtId="0" fontId="40" fillId="0" borderId="0" xfId="0" applyFont="1" applyFill="1" applyBorder="1"/>
    <xf numFmtId="0" fontId="12" fillId="0" borderId="42" xfId="0" applyFont="1" applyFill="1" applyBorder="1" applyAlignment="1">
      <alignment horizontal="center"/>
    </xf>
    <xf numFmtId="0" fontId="12" fillId="0" borderId="43" xfId="0" applyFont="1" applyFill="1" applyBorder="1" applyAlignment="1">
      <alignment horizontal="center"/>
    </xf>
    <xf numFmtId="0" fontId="12" fillId="0" borderId="44" xfId="0" applyFont="1" applyFill="1" applyBorder="1" applyAlignment="1">
      <alignment horizontal="center"/>
    </xf>
    <xf numFmtId="0" fontId="12" fillId="0" borderId="12" xfId="0" applyFont="1" applyFill="1" applyBorder="1" applyAlignment="1">
      <alignment horizontal="center"/>
    </xf>
    <xf numFmtId="0" fontId="12" fillId="0" borderId="7" xfId="0" applyFont="1" applyFill="1" applyBorder="1" applyAlignment="1">
      <alignment horizontal="center"/>
    </xf>
    <xf numFmtId="0" fontId="12" fillId="0" borderId="45" xfId="0" applyFont="1" applyFill="1" applyBorder="1" applyAlignment="1">
      <alignment horizontal="center"/>
    </xf>
    <xf numFmtId="0" fontId="12" fillId="0" borderId="46" xfId="0" applyFont="1" applyFill="1" applyBorder="1" applyAlignment="1">
      <alignment horizontal="center"/>
    </xf>
    <xf numFmtId="0" fontId="12" fillId="0" borderId="2" xfId="0" applyFont="1" applyFill="1" applyBorder="1" applyAlignment="1">
      <alignment horizontal="center"/>
    </xf>
    <xf numFmtId="0" fontId="12" fillId="0" borderId="0" xfId="0" applyFont="1" applyFill="1" applyBorder="1" applyAlignment="1"/>
    <xf numFmtId="3" fontId="13" fillId="0" borderId="25" xfId="0" applyNumberFormat="1" applyFont="1" applyFill="1" applyBorder="1" applyAlignment="1">
      <alignment horizontal="center"/>
    </xf>
    <xf numFmtId="0" fontId="12" fillId="0" borderId="0" xfId="0" applyFont="1" applyFill="1" applyBorder="1" applyAlignment="1">
      <alignment horizontal="center"/>
    </xf>
    <xf numFmtId="3" fontId="13" fillId="0" borderId="28" xfId="0" applyNumberFormat="1" applyFont="1" applyFill="1" applyBorder="1" applyAlignment="1">
      <alignment horizontal="center"/>
    </xf>
    <xf numFmtId="3" fontId="13" fillId="0" borderId="19" xfId="0" applyNumberFormat="1" applyFont="1" applyFill="1" applyBorder="1" applyAlignment="1">
      <alignment horizontal="center"/>
    </xf>
    <xf numFmtId="2" fontId="13" fillId="0" borderId="0" xfId="0" applyNumberFormat="1" applyFont="1" applyFill="1" applyBorder="1" applyAlignment="1">
      <alignment horizontal="center"/>
    </xf>
    <xf numFmtId="2" fontId="0" fillId="0" borderId="0" xfId="0" applyNumberFormat="1" applyFill="1" applyBorder="1"/>
    <xf numFmtId="2" fontId="5" fillId="0" borderId="0" xfId="0" applyNumberFormat="1" applyFont="1" applyFill="1" applyBorder="1" applyAlignment="1">
      <alignment horizontal="left"/>
    </xf>
    <xf numFmtId="0" fontId="42" fillId="0" borderId="0" xfId="2" applyFont="1" applyFill="1" applyBorder="1" applyAlignment="1" applyProtection="1">
      <alignment horizontal="left"/>
    </xf>
    <xf numFmtId="172" fontId="0" fillId="0" borderId="0" xfId="0" applyNumberFormat="1" applyFill="1" applyBorder="1"/>
    <xf numFmtId="0" fontId="12" fillId="0" borderId="8" xfId="0" applyFont="1" applyFill="1" applyBorder="1" applyAlignment="1"/>
    <xf numFmtId="0" fontId="43" fillId="0" borderId="0" xfId="0" applyFont="1" applyFill="1" applyBorder="1"/>
    <xf numFmtId="0" fontId="2" fillId="0" borderId="0" xfId="0" applyFont="1" applyFill="1"/>
    <xf numFmtId="0" fontId="2" fillId="0" borderId="11" xfId="0" applyFont="1" applyFill="1" applyBorder="1"/>
    <xf numFmtId="0" fontId="1" fillId="0" borderId="47" xfId="0" applyFont="1" applyFill="1" applyBorder="1" applyAlignment="1">
      <alignment horizontal="center"/>
    </xf>
    <xf numFmtId="0" fontId="1" fillId="0" borderId="24" xfId="0" applyFont="1" applyFill="1" applyBorder="1" applyAlignment="1">
      <alignment horizontal="center"/>
    </xf>
    <xf numFmtId="0" fontId="1" fillId="0" borderId="48" xfId="0" applyFont="1" applyFill="1" applyBorder="1" applyAlignment="1">
      <alignment horizontal="center"/>
    </xf>
    <xf numFmtId="0" fontId="12" fillId="0" borderId="29" xfId="0" applyFont="1" applyFill="1" applyBorder="1" applyAlignment="1">
      <alignment horizontal="center"/>
    </xf>
    <xf numFmtId="0" fontId="12" fillId="0" borderId="49" xfId="0" applyFont="1" applyFill="1" applyBorder="1" applyAlignment="1">
      <alignment horizontal="center"/>
    </xf>
    <xf numFmtId="0" fontId="12" fillId="0" borderId="9" xfId="0" applyFont="1" applyFill="1" applyBorder="1" applyAlignment="1">
      <alignment horizontal="center"/>
    </xf>
    <xf numFmtId="2" fontId="13" fillId="0" borderId="50" xfId="0" applyNumberFormat="1" applyFont="1" applyFill="1" applyBorder="1" applyAlignment="1">
      <alignment horizontal="center"/>
    </xf>
    <xf numFmtId="0" fontId="5" fillId="0" borderId="0" xfId="0" applyFont="1" applyFill="1"/>
    <xf numFmtId="0" fontId="13" fillId="0" borderId="11" xfId="0" applyFont="1" applyFill="1" applyBorder="1"/>
    <xf numFmtId="0" fontId="11" fillId="0" borderId="0" xfId="0" applyFont="1" applyFill="1" applyBorder="1" applyAlignment="1"/>
    <xf numFmtId="0" fontId="12" fillId="0" borderId="1" xfId="0" applyFont="1" applyFill="1" applyBorder="1" applyAlignment="1">
      <alignment horizontal="center"/>
    </xf>
    <xf numFmtId="2" fontId="13" fillId="0" borderId="53" xfId="0" applyNumberFormat="1" applyFont="1" applyFill="1" applyBorder="1" applyAlignment="1">
      <alignment horizontal="center"/>
    </xf>
    <xf numFmtId="164" fontId="13" fillId="0" borderId="0" xfId="0" applyNumberFormat="1" applyFont="1" applyFill="1" applyBorder="1" applyAlignment="1">
      <alignment horizontal="left"/>
    </xf>
    <xf numFmtId="0" fontId="37" fillId="0" borderId="11" xfId="0" applyFont="1" applyFill="1" applyBorder="1"/>
    <xf numFmtId="0" fontId="36" fillId="0" borderId="11" xfId="0" applyFont="1" applyFill="1" applyBorder="1" applyAlignment="1">
      <alignment horizontal="center"/>
    </xf>
    <xf numFmtId="0" fontId="36" fillId="0" borderId="4" xfId="0" applyFont="1" applyFill="1" applyBorder="1" applyAlignment="1">
      <alignment horizontal="center"/>
    </xf>
    <xf numFmtId="0" fontId="36" fillId="0" borderId="12" xfId="0" applyFont="1" applyFill="1" applyBorder="1" applyAlignment="1">
      <alignment horizontal="center"/>
    </xf>
    <xf numFmtId="0" fontId="12" fillId="0" borderId="54" xfId="0" applyFont="1" applyFill="1" applyBorder="1" applyAlignment="1">
      <alignment horizontal="center"/>
    </xf>
    <xf numFmtId="0" fontId="12" fillId="0" borderId="0" xfId="0" applyFont="1" applyFill="1" applyAlignment="1"/>
    <xf numFmtId="4" fontId="13" fillId="0" borderId="25" xfId="0" applyNumberFormat="1" applyFont="1" applyFill="1" applyBorder="1" applyAlignment="1">
      <alignment horizontal="center"/>
    </xf>
    <xf numFmtId="168" fontId="6" fillId="2" borderId="55" xfId="4" applyNumberFormat="1" applyFont="1" applyFill="1" applyBorder="1" applyAlignment="1" applyProtection="1">
      <alignment horizontal="center" vertical="center"/>
      <protection locked="0"/>
    </xf>
    <xf numFmtId="165" fontId="30" fillId="3" borderId="2" xfId="4" applyNumberFormat="1" applyFont="1" applyFill="1" applyBorder="1" applyAlignment="1" applyProtection="1">
      <alignment horizontal="center" vertical="center"/>
      <protection hidden="1"/>
    </xf>
    <xf numFmtId="168" fontId="31" fillId="3" borderId="56" xfId="4" applyNumberFormat="1" applyFont="1" applyFill="1" applyBorder="1" applyAlignment="1" applyProtection="1">
      <alignment horizontal="center" vertical="center"/>
      <protection hidden="1"/>
    </xf>
    <xf numFmtId="168" fontId="17" fillId="3" borderId="55" xfId="4" applyNumberFormat="1" applyFont="1" applyFill="1" applyBorder="1" applyAlignment="1" applyProtection="1">
      <alignment horizontal="center" vertical="center"/>
      <protection hidden="1"/>
    </xf>
    <xf numFmtId="168" fontId="31" fillId="3" borderId="55" xfId="4" applyNumberFormat="1" applyFont="1" applyFill="1" applyBorder="1" applyAlignment="1" applyProtection="1">
      <alignment horizontal="center" vertical="center"/>
      <protection hidden="1"/>
    </xf>
    <xf numFmtId="168" fontId="31" fillId="3" borderId="57" xfId="4" applyNumberFormat="1" applyFont="1" applyFill="1" applyBorder="1" applyAlignment="1" applyProtection="1">
      <alignment horizontal="center" vertical="center"/>
      <protection hidden="1"/>
    </xf>
    <xf numFmtId="171" fontId="18" fillId="3" borderId="0" xfId="0" applyNumberFormat="1" applyFont="1" applyFill="1" applyAlignment="1" applyProtection="1">
      <alignment horizontal="right"/>
      <protection hidden="1"/>
    </xf>
    <xf numFmtId="165" fontId="15" fillId="3" borderId="0" xfId="0" applyNumberFormat="1" applyFont="1" applyFill="1" applyAlignment="1" applyProtection="1">
      <alignment horizontal="right"/>
      <protection hidden="1"/>
    </xf>
    <xf numFmtId="3" fontId="15" fillId="3" borderId="0" xfId="0" applyNumberFormat="1" applyFont="1" applyFill="1" applyAlignment="1" applyProtection="1">
      <alignment horizontal="right"/>
      <protection hidden="1"/>
    </xf>
    <xf numFmtId="173" fontId="13" fillId="3" borderId="0" xfId="0" applyNumberFormat="1" applyFont="1" applyFill="1" applyProtection="1">
      <protection hidden="1"/>
    </xf>
    <xf numFmtId="0" fontId="4" fillId="0" borderId="4" xfId="4" applyFont="1" applyFill="1" applyBorder="1" applyAlignment="1" applyProtection="1">
      <alignment vertical="center"/>
      <protection hidden="1"/>
    </xf>
    <xf numFmtId="0" fontId="4" fillId="3" borderId="58" xfId="4" applyFont="1" applyFill="1" applyBorder="1" applyAlignment="1" applyProtection="1">
      <alignment horizontal="left" vertical="center"/>
      <protection hidden="1"/>
    </xf>
    <xf numFmtId="0" fontId="4" fillId="3" borderId="59" xfId="4" applyFont="1" applyFill="1" applyBorder="1" applyAlignment="1" applyProtection="1">
      <alignment horizontal="right" vertical="center"/>
      <protection hidden="1"/>
    </xf>
    <xf numFmtId="0" fontId="18" fillId="3" borderId="59" xfId="4" applyFont="1" applyFill="1" applyBorder="1" applyAlignment="1" applyProtection="1">
      <alignment horizontal="center" vertical="center"/>
      <protection hidden="1"/>
    </xf>
    <xf numFmtId="0" fontId="4" fillId="3" borderId="59" xfId="4" applyFont="1" applyFill="1" applyBorder="1" applyAlignment="1" applyProtection="1">
      <alignment vertical="center"/>
      <protection hidden="1"/>
    </xf>
    <xf numFmtId="0" fontId="4" fillId="3" borderId="60" xfId="4" applyFont="1" applyFill="1" applyBorder="1" applyAlignment="1" applyProtection="1">
      <alignment vertical="center"/>
      <protection hidden="1"/>
    </xf>
    <xf numFmtId="0" fontId="4" fillId="0" borderId="1" xfId="4" applyFont="1" applyFill="1" applyBorder="1" applyAlignment="1" applyProtection="1">
      <alignment horizontal="left" vertical="center"/>
      <protection hidden="1"/>
    </xf>
    <xf numFmtId="0" fontId="4" fillId="0" borderId="0" xfId="4" applyFont="1" applyFill="1" applyBorder="1" applyAlignment="1" applyProtection="1">
      <alignment horizontal="center" vertical="center"/>
      <protection hidden="1"/>
    </xf>
    <xf numFmtId="0" fontId="4" fillId="5" borderId="34" xfId="4" applyFont="1" applyFill="1" applyBorder="1" applyAlignment="1" applyProtection="1">
      <alignment horizontal="center" vertical="center"/>
      <protection hidden="1"/>
    </xf>
    <xf numFmtId="0" fontId="4" fillId="5" borderId="10" xfId="4" applyFont="1" applyFill="1" applyBorder="1" applyAlignment="1" applyProtection="1">
      <alignment horizontal="center" vertical="center"/>
      <protection hidden="1"/>
    </xf>
    <xf numFmtId="0" fontId="21" fillId="5" borderId="10" xfId="4" applyFont="1" applyFill="1" applyBorder="1" applyAlignment="1" applyProtection="1">
      <alignment horizontal="center" vertical="center"/>
      <protection hidden="1"/>
    </xf>
    <xf numFmtId="0" fontId="4" fillId="5" borderId="10" xfId="4" applyFont="1" applyFill="1" applyBorder="1" applyAlignment="1" applyProtection="1">
      <alignment vertical="center"/>
      <protection hidden="1"/>
    </xf>
    <xf numFmtId="0" fontId="4" fillId="5" borderId="31" xfId="4" applyFont="1" applyFill="1" applyBorder="1" applyAlignment="1" applyProtection="1">
      <alignment vertical="center"/>
      <protection hidden="1"/>
    </xf>
    <xf numFmtId="174" fontId="18" fillId="3" borderId="0" xfId="0" applyNumberFormat="1" applyFont="1" applyFill="1" applyAlignment="1" applyProtection="1">
      <alignment horizontal="right"/>
      <protection hidden="1"/>
    </xf>
    <xf numFmtId="0" fontId="44" fillId="3" borderId="0" xfId="0" applyFont="1" applyFill="1" applyAlignment="1" applyProtection="1">
      <alignment horizontal="centerContinuous"/>
      <protection hidden="1"/>
    </xf>
    <xf numFmtId="0" fontId="12" fillId="3" borderId="0" xfId="0" applyFont="1" applyFill="1" applyAlignment="1" applyProtection="1">
      <alignment horizontal="centerContinuous"/>
      <protection hidden="1"/>
    </xf>
    <xf numFmtId="0" fontId="45" fillId="3" borderId="0" xfId="0" applyFont="1" applyFill="1" applyProtection="1">
      <protection hidden="1"/>
    </xf>
    <xf numFmtId="0" fontId="25" fillId="3" borderId="0" xfId="0" applyFont="1" applyFill="1" applyProtection="1">
      <protection hidden="1"/>
    </xf>
    <xf numFmtId="0" fontId="12" fillId="3" borderId="0" xfId="0" applyFont="1" applyFill="1" applyAlignment="1" applyProtection="1">
      <alignment horizontal="center"/>
      <protection hidden="1"/>
    </xf>
    <xf numFmtId="0" fontId="27" fillId="3" borderId="0" xfId="0" applyFont="1" applyFill="1" applyAlignment="1" applyProtection="1">
      <alignment horizontal="right"/>
      <protection hidden="1"/>
    </xf>
    <xf numFmtId="0" fontId="46" fillId="3" borderId="0" xfId="0" applyFont="1" applyFill="1" applyProtection="1">
      <protection hidden="1"/>
    </xf>
    <xf numFmtId="0" fontId="15" fillId="0" borderId="0" xfId="0" applyFont="1" applyFill="1" applyBorder="1" applyAlignment="1" applyProtection="1">
      <alignment horizontal="centerContinuous"/>
      <protection hidden="1"/>
    </xf>
    <xf numFmtId="0" fontId="16" fillId="0" borderId="0" xfId="0" applyFont="1" applyFill="1" applyBorder="1" applyAlignment="1" applyProtection="1">
      <alignment horizontal="centerContinuous"/>
      <protection hidden="1"/>
    </xf>
    <xf numFmtId="0" fontId="16" fillId="3" borderId="0" xfId="0" applyFont="1" applyFill="1" applyBorder="1" applyProtection="1">
      <protection hidden="1"/>
    </xf>
    <xf numFmtId="0" fontId="67" fillId="3" borderId="0" xfId="0" applyFont="1" applyFill="1" applyBorder="1" applyProtection="1">
      <protection hidden="1"/>
    </xf>
    <xf numFmtId="0" fontId="16" fillId="0" borderId="0" xfId="0" applyFont="1" applyFill="1" applyBorder="1" applyProtection="1">
      <protection hidden="1"/>
    </xf>
    <xf numFmtId="0" fontId="45" fillId="2" borderId="58" xfId="0" applyFont="1" applyFill="1" applyBorder="1" applyAlignment="1" applyProtection="1">
      <alignment vertical="top"/>
      <protection hidden="1"/>
    </xf>
    <xf numFmtId="0" fontId="48" fillId="2" borderId="59" xfId="0" applyFont="1" applyFill="1" applyBorder="1" applyAlignment="1" applyProtection="1">
      <alignment vertical="top"/>
      <protection hidden="1"/>
    </xf>
    <xf numFmtId="0" fontId="45" fillId="2" borderId="59" xfId="0" applyFont="1" applyFill="1" applyBorder="1" applyAlignment="1" applyProtection="1">
      <alignment vertical="top"/>
      <protection hidden="1"/>
    </xf>
    <xf numFmtId="0" fontId="48" fillId="2" borderId="60" xfId="0" applyFont="1" applyFill="1" applyBorder="1" applyAlignment="1" applyProtection="1">
      <alignment vertical="top"/>
      <protection hidden="1"/>
    </xf>
    <xf numFmtId="0" fontId="48" fillId="3" borderId="0" xfId="0" applyFont="1" applyFill="1" applyProtection="1">
      <protection hidden="1"/>
    </xf>
    <xf numFmtId="0" fontId="49" fillId="2" borderId="35" xfId="0" applyFont="1" applyFill="1" applyBorder="1" applyProtection="1">
      <protection hidden="1"/>
    </xf>
    <xf numFmtId="0" fontId="49" fillId="2" borderId="27" xfId="0" applyFont="1" applyFill="1" applyBorder="1" applyProtection="1">
      <protection hidden="1"/>
    </xf>
    <xf numFmtId="0" fontId="45" fillId="2" borderId="27" xfId="0" applyFont="1" applyFill="1" applyBorder="1" applyProtection="1">
      <protection hidden="1"/>
    </xf>
    <xf numFmtId="0" fontId="48" fillId="2" borderId="27" xfId="0" applyFont="1" applyFill="1" applyBorder="1" applyAlignment="1" applyProtection="1">
      <alignment vertical="top"/>
      <protection hidden="1"/>
    </xf>
    <xf numFmtId="0" fontId="48" fillId="2" borderId="61" xfId="0" applyFont="1" applyFill="1" applyBorder="1" applyAlignment="1" applyProtection="1">
      <alignment vertical="top"/>
      <protection hidden="1"/>
    </xf>
    <xf numFmtId="0" fontId="48" fillId="3" borderId="35" xfId="0" applyFont="1" applyFill="1" applyBorder="1" applyAlignment="1" applyProtection="1">
      <alignment vertical="top"/>
      <protection hidden="1"/>
    </xf>
    <xf numFmtId="0" fontId="48" fillId="3" borderId="27" xfId="0" applyFont="1" applyFill="1" applyBorder="1" applyAlignment="1" applyProtection="1">
      <alignment vertical="top"/>
      <protection hidden="1"/>
    </xf>
    <xf numFmtId="0" fontId="45" fillId="3" borderId="27" xfId="0" applyFont="1" applyFill="1" applyBorder="1" applyAlignment="1" applyProtection="1">
      <alignment vertical="top"/>
      <protection hidden="1"/>
    </xf>
    <xf numFmtId="0" fontId="48" fillId="3" borderId="27" xfId="0" applyFont="1" applyFill="1" applyBorder="1" applyProtection="1">
      <protection hidden="1"/>
    </xf>
    <xf numFmtId="0" fontId="48" fillId="3" borderId="57" xfId="0" applyFont="1" applyFill="1" applyBorder="1" applyAlignment="1" applyProtection="1">
      <alignment vertical="top"/>
      <protection hidden="1"/>
    </xf>
    <xf numFmtId="0" fontId="48" fillId="3" borderId="27" xfId="0" applyFont="1" applyFill="1" applyBorder="1" applyAlignment="1" applyProtection="1">
      <alignment horizontal="left" vertical="top" wrapText="1"/>
      <protection hidden="1"/>
    </xf>
    <xf numFmtId="0" fontId="48" fillId="3" borderId="62" xfId="0" applyFont="1" applyFill="1" applyBorder="1" applyAlignment="1" applyProtection="1">
      <alignment vertical="top"/>
      <protection hidden="1"/>
    </xf>
    <xf numFmtId="0" fontId="48" fillId="3" borderId="63" xfId="0" applyFont="1" applyFill="1" applyBorder="1" applyAlignment="1" applyProtection="1">
      <alignment vertical="top"/>
      <protection hidden="1"/>
    </xf>
    <xf numFmtId="0" fontId="48" fillId="3" borderId="64" xfId="0" applyFont="1" applyFill="1" applyBorder="1" applyAlignment="1" applyProtection="1">
      <alignment vertical="top"/>
      <protection hidden="1"/>
    </xf>
    <xf numFmtId="0" fontId="48" fillId="3" borderId="65" xfId="0" applyFont="1" applyFill="1" applyBorder="1" applyAlignment="1" applyProtection="1">
      <alignment vertical="top"/>
      <protection hidden="1"/>
    </xf>
    <xf numFmtId="0" fontId="48" fillId="3" borderId="20" xfId="0" applyFont="1" applyFill="1" applyBorder="1" applyAlignment="1" applyProtection="1">
      <alignment vertical="top"/>
      <protection hidden="1"/>
    </xf>
    <xf numFmtId="0" fontId="48" fillId="3" borderId="66" xfId="0" applyFont="1" applyFill="1" applyBorder="1" applyAlignment="1" applyProtection="1">
      <alignment vertical="top"/>
      <protection hidden="1"/>
    </xf>
    <xf numFmtId="0" fontId="45" fillId="3" borderId="66" xfId="0" applyFont="1" applyFill="1" applyBorder="1" applyAlignment="1" applyProtection="1">
      <alignment vertical="top"/>
      <protection hidden="1"/>
    </xf>
    <xf numFmtId="0" fontId="48" fillId="3" borderId="67" xfId="0" applyFont="1" applyFill="1" applyBorder="1" applyAlignment="1" applyProtection="1">
      <alignment vertical="top"/>
      <protection hidden="1"/>
    </xf>
    <xf numFmtId="0" fontId="48" fillId="3" borderId="68" xfId="0" applyFont="1" applyFill="1" applyBorder="1" applyAlignment="1" applyProtection="1">
      <alignment vertical="top"/>
      <protection hidden="1"/>
    </xf>
    <xf numFmtId="0" fontId="48" fillId="3" borderId="69" xfId="0" applyFont="1" applyFill="1" applyBorder="1" applyAlignment="1" applyProtection="1">
      <alignment vertical="top"/>
      <protection hidden="1"/>
    </xf>
    <xf numFmtId="0" fontId="48" fillId="3" borderId="58" xfId="0" applyFont="1" applyFill="1" applyBorder="1" applyAlignment="1" applyProtection="1">
      <alignment vertical="top"/>
      <protection hidden="1"/>
    </xf>
    <xf numFmtId="0" fontId="48" fillId="3" borderId="59" xfId="0" applyFont="1" applyFill="1" applyBorder="1" applyAlignment="1" applyProtection="1">
      <alignment vertical="top"/>
      <protection hidden="1"/>
    </xf>
    <xf numFmtId="0" fontId="45" fillId="3" borderId="59" xfId="0" applyFont="1" applyFill="1" applyBorder="1" applyAlignment="1" applyProtection="1">
      <alignment vertical="top"/>
      <protection hidden="1"/>
    </xf>
    <xf numFmtId="0" fontId="48" fillId="3" borderId="59" xfId="0" applyFont="1" applyFill="1" applyBorder="1" applyProtection="1">
      <protection hidden="1"/>
    </xf>
    <xf numFmtId="0" fontId="48" fillId="3" borderId="70" xfId="0" applyFont="1" applyFill="1" applyBorder="1" applyAlignment="1" applyProtection="1">
      <alignment vertical="top"/>
      <protection hidden="1"/>
    </xf>
    <xf numFmtId="0" fontId="48" fillId="3" borderId="0" xfId="0" applyFont="1" applyFill="1" applyBorder="1" applyProtection="1">
      <protection hidden="1"/>
    </xf>
    <xf numFmtId="0" fontId="48" fillId="3" borderId="71" xfId="0" applyFont="1" applyFill="1" applyBorder="1" applyAlignment="1" applyProtection="1">
      <alignment vertical="top"/>
      <protection hidden="1"/>
    </xf>
    <xf numFmtId="0" fontId="48" fillId="3" borderId="72" xfId="0" applyFont="1" applyFill="1" applyBorder="1" applyAlignment="1" applyProtection="1">
      <alignment vertical="top"/>
      <protection hidden="1"/>
    </xf>
    <xf numFmtId="0" fontId="48" fillId="3" borderId="73" xfId="0" applyFont="1" applyFill="1" applyBorder="1" applyAlignment="1" applyProtection="1">
      <alignment vertical="top"/>
      <protection hidden="1"/>
    </xf>
    <xf numFmtId="0" fontId="48" fillId="3" borderId="74" xfId="0" applyFont="1" applyFill="1" applyBorder="1" applyAlignment="1" applyProtection="1">
      <alignment vertical="top"/>
      <protection hidden="1"/>
    </xf>
    <xf numFmtId="0" fontId="48" fillId="3" borderId="75" xfId="0" applyFont="1" applyFill="1" applyBorder="1" applyAlignment="1" applyProtection="1">
      <alignment vertical="top"/>
      <protection hidden="1"/>
    </xf>
    <xf numFmtId="0" fontId="48" fillId="2" borderId="58" xfId="0" applyFont="1" applyFill="1" applyBorder="1" applyProtection="1">
      <protection hidden="1"/>
    </xf>
    <xf numFmtId="0" fontId="49" fillId="2" borderId="59" xfId="0" applyFont="1" applyFill="1" applyBorder="1" applyAlignment="1" applyProtection="1">
      <protection hidden="1"/>
    </xf>
    <xf numFmtId="0" fontId="48" fillId="2" borderId="59" xfId="0" applyFont="1" applyFill="1" applyBorder="1" applyProtection="1">
      <protection hidden="1"/>
    </xf>
    <xf numFmtId="0" fontId="53" fillId="2" borderId="60" xfId="0" applyFont="1" applyFill="1" applyBorder="1" applyAlignment="1" applyProtection="1">
      <alignment horizontal="right" vertical="top"/>
      <protection hidden="1"/>
    </xf>
    <xf numFmtId="0" fontId="48" fillId="3" borderId="35" xfId="0" applyFont="1" applyFill="1" applyBorder="1" applyAlignment="1" applyProtection="1">
      <alignment horizontal="left" vertical="top"/>
      <protection hidden="1"/>
    </xf>
    <xf numFmtId="0" fontId="48" fillId="3" borderId="27" xfId="0" applyFont="1" applyFill="1" applyBorder="1" applyAlignment="1" applyProtection="1">
      <alignment horizontal="left" vertical="top"/>
      <protection hidden="1"/>
    </xf>
    <xf numFmtId="0" fontId="45" fillId="3" borderId="27" xfId="0" applyFont="1" applyFill="1" applyBorder="1" applyAlignment="1" applyProtection="1">
      <alignment horizontal="left" vertical="top"/>
      <protection hidden="1"/>
    </xf>
    <xf numFmtId="0" fontId="45" fillId="3" borderId="53" xfId="0" applyFont="1" applyFill="1" applyBorder="1" applyAlignment="1" applyProtection="1">
      <alignment horizontal="left" vertical="top"/>
      <protection hidden="1"/>
    </xf>
    <xf numFmtId="0" fontId="48" fillId="3" borderId="57" xfId="0" applyFont="1" applyFill="1" applyBorder="1" applyAlignment="1" applyProtection="1">
      <alignment horizontal="left" vertical="top"/>
      <protection hidden="1"/>
    </xf>
    <xf numFmtId="0" fontId="48" fillId="3" borderId="0" xfId="0" applyFont="1" applyFill="1" applyBorder="1" applyAlignment="1" applyProtection="1">
      <alignment horizontal="left"/>
      <protection hidden="1"/>
    </xf>
    <xf numFmtId="0" fontId="48" fillId="3" borderId="53" xfId="0" applyFont="1" applyFill="1" applyBorder="1" applyAlignment="1" applyProtection="1">
      <alignment horizontal="left" vertical="top"/>
      <protection hidden="1"/>
    </xf>
    <xf numFmtId="0" fontId="48" fillId="3" borderId="27" xfId="0" applyFont="1" applyFill="1" applyBorder="1" applyAlignment="1" applyProtection="1">
      <alignment horizontal="left"/>
      <protection hidden="1"/>
    </xf>
    <xf numFmtId="0" fontId="48" fillId="3" borderId="61" xfId="0" applyFont="1" applyFill="1" applyBorder="1" applyAlignment="1" applyProtection="1">
      <alignment horizontal="left"/>
      <protection hidden="1"/>
    </xf>
    <xf numFmtId="0" fontId="48" fillId="3" borderId="0" xfId="0" applyFont="1" applyFill="1" applyAlignment="1" applyProtection="1">
      <alignment horizontal="left"/>
      <protection hidden="1"/>
    </xf>
    <xf numFmtId="0" fontId="48" fillId="3" borderId="1" xfId="0" applyFont="1" applyFill="1" applyBorder="1" applyAlignment="1" applyProtection="1">
      <alignment vertical="top"/>
      <protection hidden="1"/>
    </xf>
    <xf numFmtId="0" fontId="48" fillId="3" borderId="0" xfId="0" applyFont="1" applyFill="1" applyBorder="1" applyAlignment="1" applyProtection="1">
      <alignment vertical="center"/>
      <protection hidden="1"/>
    </xf>
    <xf numFmtId="0" fontId="45" fillId="3" borderId="46" xfId="0" applyFont="1" applyFill="1" applyBorder="1" applyAlignment="1" applyProtection="1">
      <alignment vertical="top"/>
      <protection hidden="1"/>
    </xf>
    <xf numFmtId="0" fontId="48" fillId="3" borderId="0" xfId="0" applyFont="1" applyFill="1" applyBorder="1" applyAlignment="1" applyProtection="1">
      <alignment vertical="top"/>
      <protection hidden="1"/>
    </xf>
    <xf numFmtId="0" fontId="48" fillId="3" borderId="55" xfId="0" applyFont="1" applyFill="1" applyBorder="1" applyAlignment="1" applyProtection="1">
      <alignment vertical="top"/>
      <protection hidden="1"/>
    </xf>
    <xf numFmtId="0" fontId="48" fillId="3" borderId="76" xfId="0" applyFont="1" applyFill="1" applyBorder="1" applyAlignment="1" applyProtection="1">
      <alignment vertical="top"/>
      <protection hidden="1"/>
    </xf>
    <xf numFmtId="0" fontId="48" fillId="3" borderId="66" xfId="0" applyFont="1" applyFill="1" applyBorder="1" applyProtection="1">
      <protection hidden="1"/>
    </xf>
    <xf numFmtId="0" fontId="48" fillId="3" borderId="77" xfId="0" applyFont="1" applyFill="1" applyBorder="1" applyProtection="1">
      <protection hidden="1"/>
    </xf>
    <xf numFmtId="0" fontId="48" fillId="3" borderId="66" xfId="0" applyFont="1" applyFill="1" applyBorder="1" applyAlignment="1" applyProtection="1">
      <alignment vertical="center"/>
      <protection hidden="1"/>
    </xf>
    <xf numFmtId="0" fontId="45" fillId="3" borderId="76" xfId="0" applyFont="1" applyFill="1" applyBorder="1" applyAlignment="1" applyProtection="1">
      <alignment vertical="top"/>
      <protection hidden="1"/>
    </xf>
    <xf numFmtId="0" fontId="48" fillId="3" borderId="46" xfId="0" applyFont="1" applyFill="1" applyBorder="1" applyAlignment="1" applyProtection="1">
      <alignment vertical="top"/>
      <protection hidden="1"/>
    </xf>
    <xf numFmtId="0" fontId="48" fillId="3" borderId="2" xfId="0" applyFont="1" applyFill="1" applyBorder="1" applyProtection="1">
      <protection hidden="1"/>
    </xf>
    <xf numFmtId="0" fontId="49" fillId="6" borderId="47" xfId="0" applyFont="1" applyFill="1" applyBorder="1" applyProtection="1">
      <protection hidden="1"/>
    </xf>
    <xf numFmtId="0" fontId="49" fillId="6" borderId="24" xfId="0" applyFont="1" applyFill="1" applyBorder="1" applyProtection="1">
      <protection hidden="1"/>
    </xf>
    <xf numFmtId="0" fontId="45" fillId="6" borderId="24" xfId="0" applyFont="1" applyFill="1" applyBorder="1" applyProtection="1">
      <protection hidden="1"/>
    </xf>
    <xf numFmtId="0" fontId="48" fillId="6" borderId="24" xfId="0" applyFont="1" applyFill="1" applyBorder="1" applyAlignment="1" applyProtection="1">
      <alignment vertical="top"/>
      <protection hidden="1"/>
    </xf>
    <xf numFmtId="0" fontId="48" fillId="6" borderId="24" xfId="0" applyFont="1" applyFill="1" applyBorder="1" applyProtection="1">
      <protection hidden="1"/>
    </xf>
    <xf numFmtId="0" fontId="53" fillId="6" borderId="24" xfId="0" applyFont="1" applyFill="1" applyBorder="1" applyProtection="1">
      <protection hidden="1"/>
    </xf>
    <xf numFmtId="0" fontId="56" fillId="6" borderId="48" xfId="0" applyFont="1" applyFill="1" applyBorder="1" applyAlignment="1" applyProtection="1">
      <alignment horizontal="right"/>
      <protection hidden="1"/>
    </xf>
    <xf numFmtId="0" fontId="49" fillId="3" borderId="58" xfId="0" applyFont="1" applyFill="1" applyBorder="1" applyProtection="1">
      <protection hidden="1"/>
    </xf>
    <xf numFmtId="0" fontId="53" fillId="3" borderId="59" xfId="0" applyFont="1" applyFill="1" applyBorder="1" applyProtection="1">
      <protection hidden="1"/>
    </xf>
    <xf numFmtId="0" fontId="51" fillId="3" borderId="60" xfId="0" applyFont="1" applyFill="1" applyBorder="1" applyAlignment="1" applyProtection="1">
      <alignment horizontal="right"/>
      <protection hidden="1"/>
    </xf>
    <xf numFmtId="0" fontId="45" fillId="3" borderId="0" xfId="0" applyFont="1" applyFill="1" applyBorder="1" applyAlignment="1" applyProtection="1">
      <alignment vertical="top"/>
      <protection hidden="1"/>
    </xf>
    <xf numFmtId="0" fontId="46" fillId="3" borderId="0" xfId="0" applyFont="1" applyFill="1" applyBorder="1" applyAlignment="1" applyProtection="1">
      <alignment vertical="top"/>
      <protection hidden="1"/>
    </xf>
    <xf numFmtId="0" fontId="56" fillId="3" borderId="0" xfId="0" applyFont="1" applyFill="1" applyBorder="1" applyProtection="1">
      <protection hidden="1"/>
    </xf>
    <xf numFmtId="0" fontId="46" fillId="3" borderId="0" xfId="0" applyFont="1" applyFill="1" applyBorder="1" applyProtection="1">
      <protection hidden="1"/>
    </xf>
    <xf numFmtId="0" fontId="46" fillId="3" borderId="0" xfId="0" applyFont="1" applyFill="1" applyBorder="1" applyAlignment="1" applyProtection="1">
      <alignment horizontal="right" vertical="top"/>
      <protection hidden="1"/>
    </xf>
    <xf numFmtId="0" fontId="54" fillId="3" borderId="2" xfId="0" applyFont="1" applyFill="1" applyBorder="1" applyAlignment="1" applyProtection="1">
      <alignment vertical="justify" wrapText="1"/>
      <protection hidden="1"/>
    </xf>
    <xf numFmtId="0" fontId="55" fillId="3" borderId="0" xfId="0" applyFont="1" applyFill="1" applyBorder="1" applyProtection="1">
      <protection hidden="1"/>
    </xf>
    <xf numFmtId="0" fontId="4" fillId="3" borderId="1" xfId="0" applyFont="1" applyFill="1" applyBorder="1" applyAlignment="1" applyProtection="1">
      <alignment vertical="center"/>
      <protection hidden="1"/>
    </xf>
    <xf numFmtId="0" fontId="4" fillId="3" borderId="0" xfId="0" applyFont="1" applyFill="1" applyBorder="1" applyAlignment="1" applyProtection="1">
      <alignment vertical="center"/>
      <protection hidden="1"/>
    </xf>
    <xf numFmtId="0" fontId="4" fillId="3" borderId="0" xfId="0" applyFont="1" applyFill="1" applyBorder="1" applyAlignment="1" applyProtection="1">
      <alignment vertical="top"/>
      <protection hidden="1"/>
    </xf>
    <xf numFmtId="0" fontId="48" fillId="3" borderId="0" xfId="0" applyFont="1" applyFill="1" applyBorder="1" applyAlignment="1" applyProtection="1">
      <alignment horizontal="right" vertical="top"/>
      <protection hidden="1"/>
    </xf>
    <xf numFmtId="0" fontId="54" fillId="3" borderId="27" xfId="0" applyFont="1" applyFill="1" applyBorder="1" applyAlignment="1" applyProtection="1">
      <alignment vertical="top"/>
      <protection hidden="1"/>
    </xf>
    <xf numFmtId="0" fontId="54" fillId="3" borderId="61" xfId="0" applyFont="1" applyFill="1" applyBorder="1" applyAlignment="1" applyProtection="1">
      <alignment vertical="justify" wrapText="1"/>
      <protection hidden="1"/>
    </xf>
    <xf numFmtId="0" fontId="56" fillId="3" borderId="0" xfId="0" applyFont="1" applyFill="1" applyBorder="1" applyAlignment="1" applyProtection="1">
      <alignment horizontal="center"/>
      <protection hidden="1"/>
    </xf>
    <xf numFmtId="0" fontId="56" fillId="3" borderId="2" xfId="0" applyFont="1" applyFill="1" applyBorder="1" applyAlignment="1" applyProtection="1">
      <alignment horizontal="center"/>
      <protection hidden="1"/>
    </xf>
    <xf numFmtId="0" fontId="56" fillId="3" borderId="46" xfId="0" applyFont="1" applyFill="1" applyBorder="1" applyAlignment="1" applyProtection="1">
      <alignment horizontal="center"/>
      <protection hidden="1"/>
    </xf>
    <xf numFmtId="0" fontId="48" fillId="3" borderId="0" xfId="0" applyFont="1" applyFill="1" applyAlignment="1" applyProtection="1">
      <protection hidden="1"/>
    </xf>
    <xf numFmtId="0" fontId="46" fillId="3" borderId="0" xfId="0" applyFont="1" applyFill="1" applyBorder="1" applyAlignment="1" applyProtection="1">
      <alignment horizontal="left"/>
      <protection hidden="1"/>
    </xf>
    <xf numFmtId="0" fontId="46" fillId="3" borderId="55" xfId="0" applyFont="1" applyFill="1" applyBorder="1" applyAlignment="1" applyProtection="1">
      <alignment horizontal="left"/>
      <protection hidden="1"/>
    </xf>
    <xf numFmtId="0" fontId="46" fillId="3" borderId="0" xfId="0" applyFont="1" applyFill="1" applyBorder="1" applyAlignment="1" applyProtection="1">
      <alignment horizontal="center"/>
      <protection hidden="1"/>
    </xf>
    <xf numFmtId="0" fontId="48" fillId="6" borderId="58" xfId="0" applyFont="1" applyFill="1" applyBorder="1" applyAlignment="1" applyProtection="1">
      <alignment vertical="top"/>
      <protection hidden="1"/>
    </xf>
    <xf numFmtId="0" fontId="48" fillId="6" borderId="59" xfId="0" applyFont="1" applyFill="1" applyBorder="1" applyAlignment="1" applyProtection="1">
      <alignment vertical="top"/>
      <protection hidden="1"/>
    </xf>
    <xf numFmtId="0" fontId="45" fillId="6" borderId="59" xfId="0" applyFont="1" applyFill="1" applyBorder="1" applyAlignment="1" applyProtection="1">
      <alignment vertical="top"/>
      <protection hidden="1"/>
    </xf>
    <xf numFmtId="0" fontId="53" fillId="6" borderId="59" xfId="0" applyFont="1" applyFill="1" applyBorder="1" applyAlignment="1" applyProtection="1">
      <alignment horizontal="right" vertical="top"/>
      <protection hidden="1"/>
    </xf>
    <xf numFmtId="0" fontId="53" fillId="6" borderId="60" xfId="0" applyFont="1" applyFill="1" applyBorder="1" applyAlignment="1" applyProtection="1">
      <alignment horizontal="right" vertical="top"/>
      <protection hidden="1"/>
    </xf>
    <xf numFmtId="0" fontId="48" fillId="6" borderId="35" xfId="0" applyFont="1" applyFill="1" applyBorder="1" applyProtection="1">
      <protection hidden="1"/>
    </xf>
    <xf numFmtId="0" fontId="49" fillId="6" borderId="27" xfId="0" applyFont="1" applyFill="1" applyBorder="1" applyProtection="1">
      <protection hidden="1"/>
    </xf>
    <xf numFmtId="0" fontId="45" fillId="6" borderId="27" xfId="0" applyFont="1" applyFill="1" applyBorder="1" applyProtection="1">
      <protection hidden="1"/>
    </xf>
    <xf numFmtId="0" fontId="48" fillId="6" borderId="27" xfId="0" applyFont="1" applyFill="1" applyBorder="1" applyProtection="1">
      <protection hidden="1"/>
    </xf>
    <xf numFmtId="0" fontId="48" fillId="6" borderId="61" xfId="0" applyFont="1" applyFill="1" applyBorder="1" applyProtection="1">
      <protection hidden="1"/>
    </xf>
    <xf numFmtId="0" fontId="48" fillId="3" borderId="1" xfId="0" applyFont="1" applyFill="1" applyBorder="1" applyProtection="1">
      <protection hidden="1"/>
    </xf>
    <xf numFmtId="0" fontId="45" fillId="3" borderId="0" xfId="0" applyFont="1" applyFill="1" applyBorder="1" applyProtection="1">
      <protection hidden="1"/>
    </xf>
    <xf numFmtId="4" fontId="48" fillId="3" borderId="0" xfId="0" applyNumberFormat="1" applyFont="1" applyFill="1" applyProtection="1">
      <protection hidden="1"/>
    </xf>
    <xf numFmtId="0" fontId="46" fillId="3" borderId="78" xfId="0" applyFont="1" applyFill="1" applyBorder="1" applyAlignment="1" applyProtection="1">
      <alignment horizontal="center"/>
      <protection hidden="1"/>
    </xf>
    <xf numFmtId="0" fontId="45" fillId="3" borderId="0" xfId="0" applyFont="1" applyFill="1" applyBorder="1" applyAlignment="1" applyProtection="1">
      <alignment horizontal="left"/>
      <protection hidden="1"/>
    </xf>
    <xf numFmtId="0" fontId="45" fillId="3" borderId="0" xfId="0" applyFont="1" applyFill="1" applyBorder="1" applyAlignment="1" applyProtection="1">
      <alignment horizontal="right"/>
      <protection hidden="1"/>
    </xf>
    <xf numFmtId="0" fontId="58" fillId="3" borderId="0" xfId="0" applyFont="1" applyFill="1" applyBorder="1" applyProtection="1">
      <protection hidden="1"/>
    </xf>
    <xf numFmtId="0" fontId="49" fillId="6" borderId="35" xfId="0" applyFont="1" applyFill="1" applyBorder="1" applyProtection="1">
      <protection hidden="1"/>
    </xf>
    <xf numFmtId="0" fontId="53" fillId="6" borderId="27" xfId="0" applyFont="1" applyFill="1" applyBorder="1" applyAlignment="1" applyProtection="1">
      <alignment horizontal="right" vertical="top"/>
      <protection hidden="1"/>
    </xf>
    <xf numFmtId="0" fontId="53" fillId="6" borderId="61" xfId="0" applyFont="1" applyFill="1" applyBorder="1" applyAlignment="1" applyProtection="1">
      <alignment horizontal="right" vertical="top"/>
      <protection hidden="1"/>
    </xf>
    <xf numFmtId="0" fontId="45" fillId="3" borderId="0" xfId="0" applyFont="1" applyFill="1" applyBorder="1" applyAlignment="1" applyProtection="1">
      <alignment horizontal="center"/>
      <protection hidden="1"/>
    </xf>
    <xf numFmtId="0" fontId="48" fillId="3" borderId="0" xfId="0" applyFont="1" applyFill="1" applyBorder="1" applyAlignment="1" applyProtection="1">
      <alignment horizontal="center"/>
      <protection hidden="1"/>
    </xf>
    <xf numFmtId="0" fontId="45" fillId="3" borderId="2" xfId="0" applyFont="1" applyFill="1" applyBorder="1" applyProtection="1">
      <protection hidden="1"/>
    </xf>
    <xf numFmtId="0" fontId="60" fillId="3" borderId="0" xfId="0" applyFont="1" applyFill="1" applyBorder="1" applyProtection="1">
      <protection hidden="1"/>
    </xf>
    <xf numFmtId="0" fontId="50" fillId="3" borderId="0" xfId="0" applyFont="1" applyFill="1" applyBorder="1" applyAlignment="1" applyProtection="1">
      <alignment horizontal="left"/>
      <protection hidden="1"/>
    </xf>
    <xf numFmtId="0" fontId="45" fillId="3" borderId="1" xfId="0" applyFont="1" applyFill="1" applyBorder="1" applyProtection="1">
      <protection hidden="1"/>
    </xf>
    <xf numFmtId="3" fontId="46" fillId="3" borderId="0" xfId="0" applyNumberFormat="1" applyFont="1" applyFill="1" applyBorder="1" applyAlignment="1" applyProtection="1">
      <alignment horizontal="right"/>
      <protection hidden="1"/>
    </xf>
    <xf numFmtId="3" fontId="46" fillId="3" borderId="0" xfId="0" applyNumberFormat="1" applyFont="1" applyFill="1" applyBorder="1" applyAlignment="1" applyProtection="1">
      <alignment horizontal="center"/>
      <protection hidden="1"/>
    </xf>
    <xf numFmtId="0" fontId="63" fillId="3" borderId="0" xfId="0" applyFont="1" applyFill="1" applyBorder="1" applyAlignment="1" applyProtection="1">
      <alignment horizontal="right"/>
      <protection hidden="1"/>
    </xf>
    <xf numFmtId="0" fontId="59" fillId="3" borderId="0" xfId="0" applyFont="1" applyFill="1" applyBorder="1" applyProtection="1">
      <protection hidden="1"/>
    </xf>
    <xf numFmtId="0" fontId="48" fillId="3" borderId="0" xfId="0" applyFont="1" applyFill="1" applyBorder="1" applyAlignment="1" applyProtection="1">
      <alignment horizontal="right"/>
      <protection hidden="1"/>
    </xf>
    <xf numFmtId="3" fontId="45" fillId="3" borderId="0" xfId="0" applyNumberFormat="1" applyFont="1" applyFill="1" applyBorder="1" applyAlignment="1" applyProtection="1">
      <alignment horizontal="right"/>
      <protection hidden="1"/>
    </xf>
    <xf numFmtId="3" fontId="48" fillId="3" borderId="0" xfId="0" applyNumberFormat="1" applyFont="1" applyFill="1" applyBorder="1" applyAlignment="1" applyProtection="1">
      <alignment horizontal="right"/>
      <protection hidden="1"/>
    </xf>
    <xf numFmtId="0" fontId="48" fillId="3" borderId="45" xfId="0" applyFont="1" applyFill="1" applyBorder="1" applyProtection="1">
      <protection hidden="1"/>
    </xf>
    <xf numFmtId="0" fontId="54" fillId="3" borderId="0" xfId="0" applyFont="1" applyFill="1" applyBorder="1" applyAlignment="1" applyProtection="1">
      <alignment vertical="top"/>
      <protection hidden="1"/>
    </xf>
    <xf numFmtId="0" fontId="47" fillId="3" borderId="0" xfId="0" applyFont="1" applyFill="1" applyBorder="1" applyProtection="1">
      <protection hidden="1"/>
    </xf>
    <xf numFmtId="0" fontId="50" fillId="3" borderId="0" xfId="0" applyFont="1" applyFill="1" applyBorder="1" applyProtection="1">
      <protection hidden="1"/>
    </xf>
    <xf numFmtId="0" fontId="61" fillId="3" borderId="0" xfId="0" applyFont="1" applyFill="1" applyBorder="1" applyProtection="1">
      <protection hidden="1"/>
    </xf>
    <xf numFmtId="0" fontId="45" fillId="3" borderId="27" xfId="0" applyFont="1" applyFill="1" applyBorder="1" applyProtection="1">
      <protection hidden="1"/>
    </xf>
    <xf numFmtId="0" fontId="46" fillId="3" borderId="27" xfId="0" applyFont="1" applyFill="1" applyBorder="1" applyAlignment="1" applyProtection="1">
      <alignment horizontal="center"/>
      <protection hidden="1"/>
    </xf>
    <xf numFmtId="0" fontId="46" fillId="3" borderId="27" xfId="0" applyFont="1" applyFill="1" applyBorder="1" applyProtection="1">
      <protection hidden="1"/>
    </xf>
    <xf numFmtId="0" fontId="61" fillId="3" borderId="27" xfId="0" applyFont="1" applyFill="1" applyBorder="1" applyProtection="1">
      <protection hidden="1"/>
    </xf>
    <xf numFmtId="0" fontId="45" fillId="3" borderId="35" xfId="0" applyFont="1" applyFill="1" applyBorder="1" applyProtection="1">
      <protection hidden="1"/>
    </xf>
    <xf numFmtId="0" fontId="48" fillId="3" borderId="61" xfId="0" applyFont="1" applyFill="1" applyBorder="1" applyProtection="1">
      <protection hidden="1"/>
    </xf>
    <xf numFmtId="0" fontId="45" fillId="3" borderId="58" xfId="0" applyFont="1" applyFill="1" applyBorder="1" applyProtection="1">
      <protection hidden="1"/>
    </xf>
    <xf numFmtId="0" fontId="45" fillId="3" borderId="59" xfId="0" applyFont="1" applyFill="1" applyBorder="1" applyProtection="1">
      <protection hidden="1"/>
    </xf>
    <xf numFmtId="0" fontId="69" fillId="3" borderId="59" xfId="0" applyFont="1" applyFill="1" applyBorder="1" applyProtection="1">
      <protection hidden="1"/>
    </xf>
    <xf numFmtId="0" fontId="69" fillId="3" borderId="71" xfId="0" applyFont="1" applyFill="1" applyBorder="1" applyProtection="1">
      <protection hidden="1"/>
    </xf>
    <xf numFmtId="0" fontId="69" fillId="3" borderId="66" xfId="0" applyFont="1" applyFill="1" applyBorder="1" applyProtection="1">
      <protection hidden="1"/>
    </xf>
    <xf numFmtId="0" fontId="69" fillId="3" borderId="60" xfId="0" applyFont="1" applyFill="1" applyBorder="1" applyProtection="1">
      <protection hidden="1"/>
    </xf>
    <xf numFmtId="0" fontId="69" fillId="3" borderId="0" xfId="0" applyFont="1" applyFill="1" applyProtection="1">
      <protection hidden="1"/>
    </xf>
    <xf numFmtId="0" fontId="70" fillId="3" borderId="0" xfId="0" applyFont="1" applyFill="1" applyBorder="1" applyProtection="1">
      <protection hidden="1"/>
    </xf>
    <xf numFmtId="0" fontId="69" fillId="3" borderId="0" xfId="0" applyFont="1" applyFill="1" applyBorder="1" applyProtection="1">
      <protection hidden="1"/>
    </xf>
    <xf numFmtId="0" fontId="56" fillId="3" borderId="1" xfId="0" applyFont="1" applyFill="1" applyBorder="1" applyProtection="1">
      <protection hidden="1"/>
    </xf>
    <xf numFmtId="4" fontId="72" fillId="3" borderId="0" xfId="0" applyNumberFormat="1" applyFont="1" applyFill="1" applyBorder="1" applyProtection="1">
      <protection hidden="1"/>
    </xf>
    <xf numFmtId="4" fontId="69" fillId="3" borderId="0" xfId="0" applyNumberFormat="1" applyFont="1" applyFill="1" applyBorder="1" applyProtection="1">
      <protection hidden="1"/>
    </xf>
    <xf numFmtId="4" fontId="69" fillId="3" borderId="46" xfId="0" applyNumberFormat="1" applyFont="1" applyFill="1" applyBorder="1" applyProtection="1">
      <protection hidden="1"/>
    </xf>
    <xf numFmtId="4" fontId="69" fillId="3" borderId="2" xfId="0" applyNumberFormat="1" applyFont="1" applyFill="1" applyBorder="1" applyProtection="1">
      <protection hidden="1"/>
    </xf>
    <xf numFmtId="0" fontId="69" fillId="3" borderId="0" xfId="0" applyFont="1" applyFill="1" applyBorder="1" applyAlignment="1" applyProtection="1">
      <alignment vertical="top"/>
      <protection hidden="1"/>
    </xf>
    <xf numFmtId="0" fontId="75" fillId="3" borderId="0" xfId="0" applyFont="1" applyFill="1" applyBorder="1" applyAlignment="1" applyProtection="1">
      <alignment vertical="top"/>
      <protection hidden="1"/>
    </xf>
    <xf numFmtId="0" fontId="75" fillId="3" borderId="0" xfId="0" applyFont="1" applyFill="1" applyBorder="1" applyAlignment="1" applyProtection="1">
      <alignment vertical="center"/>
      <protection hidden="1"/>
    </xf>
    <xf numFmtId="0" fontId="69" fillId="3" borderId="0" xfId="0" applyFont="1" applyFill="1" applyBorder="1" applyAlignment="1" applyProtection="1">
      <alignment vertical="center"/>
      <protection hidden="1"/>
    </xf>
    <xf numFmtId="4" fontId="76" fillId="3" borderId="0" xfId="0" applyNumberFormat="1" applyFont="1" applyFill="1" applyBorder="1" applyAlignment="1" applyProtection="1">
      <alignment horizontal="center" vertical="center"/>
      <protection hidden="1"/>
    </xf>
    <xf numFmtId="0" fontId="75" fillId="3" borderId="46" xfId="0" applyFont="1" applyFill="1" applyBorder="1" applyAlignment="1" applyProtection="1">
      <alignment vertical="center"/>
      <protection hidden="1"/>
    </xf>
    <xf numFmtId="4" fontId="75" fillId="3" borderId="0" xfId="0" applyNumberFormat="1" applyFont="1" applyFill="1" applyBorder="1" applyAlignment="1" applyProtection="1">
      <alignment vertical="center"/>
      <protection hidden="1"/>
    </xf>
    <xf numFmtId="4" fontId="75" fillId="3" borderId="46" xfId="0" applyNumberFormat="1" applyFont="1" applyFill="1" applyBorder="1" applyAlignment="1" applyProtection="1">
      <alignment vertical="center"/>
      <protection hidden="1"/>
    </xf>
    <xf numFmtId="4" fontId="69" fillId="3" borderId="0" xfId="0" applyNumberFormat="1" applyFont="1" applyFill="1" applyBorder="1" applyAlignment="1" applyProtection="1">
      <alignment vertical="center"/>
      <protection hidden="1"/>
    </xf>
    <xf numFmtId="4" fontId="69" fillId="3" borderId="2" xfId="0" applyNumberFormat="1" applyFont="1" applyFill="1" applyBorder="1" applyAlignment="1" applyProtection="1">
      <alignment vertical="top"/>
      <protection hidden="1"/>
    </xf>
    <xf numFmtId="0" fontId="69" fillId="3" borderId="0" xfId="0" applyFont="1" applyFill="1" applyAlignment="1" applyProtection="1">
      <alignment vertical="top"/>
      <protection hidden="1"/>
    </xf>
    <xf numFmtId="0" fontId="70" fillId="3" borderId="0" xfId="0" applyFont="1" applyFill="1" applyBorder="1" applyAlignment="1" applyProtection="1">
      <alignment vertical="top"/>
      <protection hidden="1"/>
    </xf>
    <xf numFmtId="4" fontId="48" fillId="3" borderId="0" xfId="0" applyNumberFormat="1" applyFont="1" applyFill="1" applyBorder="1" applyProtection="1">
      <protection hidden="1"/>
    </xf>
    <xf numFmtId="3" fontId="76" fillId="3" borderId="0" xfId="0" applyNumberFormat="1" applyFont="1" applyFill="1" applyBorder="1" applyAlignment="1" applyProtection="1">
      <alignment horizontal="left"/>
      <protection hidden="1"/>
    </xf>
    <xf numFmtId="3" fontId="69" fillId="3" borderId="0" xfId="0" applyNumberFormat="1" applyFont="1" applyFill="1" applyBorder="1" applyAlignment="1" applyProtection="1">
      <alignment horizontal="center"/>
      <protection hidden="1"/>
    </xf>
    <xf numFmtId="3" fontId="69" fillId="3" borderId="46" xfId="0" applyNumberFormat="1" applyFont="1" applyFill="1" applyBorder="1" applyAlignment="1" applyProtection="1">
      <alignment horizontal="center"/>
      <protection hidden="1"/>
    </xf>
    <xf numFmtId="3" fontId="69" fillId="3" borderId="0" xfId="0" applyNumberFormat="1" applyFont="1" applyFill="1" applyBorder="1" applyAlignment="1" applyProtection="1">
      <alignment horizontal="left"/>
      <protection hidden="1"/>
    </xf>
    <xf numFmtId="0" fontId="76" fillId="3" borderId="0" xfId="0" applyFont="1" applyFill="1" applyBorder="1" applyAlignment="1" applyProtection="1">
      <alignment horizontal="left"/>
      <protection hidden="1"/>
    </xf>
    <xf numFmtId="4" fontId="76" fillId="3" borderId="0" xfId="0" applyNumberFormat="1" applyFont="1" applyFill="1" applyBorder="1" applyAlignment="1" applyProtection="1">
      <alignment horizontal="left"/>
      <protection hidden="1"/>
    </xf>
    <xf numFmtId="0" fontId="69" fillId="3" borderId="1" xfId="0" applyFont="1" applyFill="1" applyBorder="1" applyProtection="1">
      <protection hidden="1"/>
    </xf>
    <xf numFmtId="0" fontId="72" fillId="3" borderId="0" xfId="0" applyFont="1" applyFill="1" applyBorder="1" applyProtection="1">
      <protection hidden="1"/>
    </xf>
    <xf numFmtId="3" fontId="36" fillId="3" borderId="0" xfId="0" applyNumberFormat="1" applyFont="1" applyFill="1" applyBorder="1" applyAlignment="1" applyProtection="1">
      <alignment horizontal="center"/>
      <protection hidden="1"/>
    </xf>
    <xf numFmtId="0" fontId="70" fillId="3" borderId="0" xfId="0" applyFont="1" applyFill="1" applyProtection="1">
      <protection hidden="1"/>
    </xf>
    <xf numFmtId="0" fontId="72" fillId="3" borderId="1" xfId="0" applyFont="1" applyFill="1" applyBorder="1" applyProtection="1">
      <protection hidden="1"/>
    </xf>
    <xf numFmtId="0" fontId="69" fillId="3" borderId="27" xfId="0" applyFont="1" applyFill="1" applyBorder="1" applyProtection="1">
      <protection hidden="1"/>
    </xf>
    <xf numFmtId="4" fontId="72" fillId="3" borderId="27" xfId="0" applyNumberFormat="1" applyFont="1" applyFill="1" applyBorder="1" applyAlignment="1" applyProtection="1">
      <alignment horizontal="center"/>
      <protection hidden="1"/>
    </xf>
    <xf numFmtId="4" fontId="76" fillId="3" borderId="27" xfId="0" applyNumberFormat="1" applyFont="1" applyFill="1" applyBorder="1" applyAlignment="1" applyProtection="1">
      <alignment horizontal="left"/>
      <protection hidden="1"/>
    </xf>
    <xf numFmtId="0" fontId="76" fillId="3" borderId="27" xfId="0" applyFont="1" applyFill="1" applyBorder="1" applyAlignment="1" applyProtection="1">
      <alignment horizontal="left"/>
      <protection hidden="1"/>
    </xf>
    <xf numFmtId="0" fontId="69" fillId="3" borderId="0" xfId="0" applyFont="1" applyFill="1" applyBorder="1" applyAlignment="1" applyProtection="1">
      <alignment horizontal="center"/>
      <protection hidden="1"/>
    </xf>
    <xf numFmtId="0" fontId="69" fillId="3" borderId="46" xfId="0" applyFont="1" applyFill="1" applyBorder="1" applyAlignment="1" applyProtection="1">
      <alignment horizontal="center"/>
      <protection hidden="1"/>
    </xf>
    <xf numFmtId="0" fontId="69" fillId="3" borderId="27" xfId="0" applyFont="1" applyFill="1" applyBorder="1" applyAlignment="1" applyProtection="1">
      <alignment horizontal="center"/>
      <protection hidden="1"/>
    </xf>
    <xf numFmtId="4" fontId="69" fillId="3" borderId="0" xfId="0" applyNumberFormat="1" applyFont="1" applyFill="1" applyBorder="1" applyAlignment="1" applyProtection="1">
      <alignment horizontal="left"/>
      <protection hidden="1"/>
    </xf>
    <xf numFmtId="4" fontId="75" fillId="3" borderId="0" xfId="0" applyNumberFormat="1" applyFont="1" applyFill="1" applyBorder="1" applyAlignment="1" applyProtection="1">
      <alignment horizontal="center"/>
      <protection hidden="1"/>
    </xf>
    <xf numFmtId="4" fontId="75" fillId="3" borderId="46" xfId="0" applyNumberFormat="1" applyFont="1" applyFill="1" applyBorder="1" applyAlignment="1" applyProtection="1">
      <alignment horizontal="center"/>
      <protection hidden="1"/>
    </xf>
    <xf numFmtId="4" fontId="76" fillId="3" borderId="0" xfId="0" applyNumberFormat="1" applyFont="1" applyFill="1" applyBorder="1" applyAlignment="1" applyProtection="1">
      <protection hidden="1"/>
    </xf>
    <xf numFmtId="0" fontId="69" fillId="3" borderId="46" xfId="0" applyFont="1" applyFill="1" applyBorder="1" applyProtection="1">
      <protection hidden="1"/>
    </xf>
    <xf numFmtId="4" fontId="76" fillId="3" borderId="79" xfId="0" applyNumberFormat="1" applyFont="1" applyFill="1" applyBorder="1" applyAlignment="1" applyProtection="1">
      <protection hidden="1"/>
    </xf>
    <xf numFmtId="4" fontId="75" fillId="3" borderId="0" xfId="0" applyNumberFormat="1" applyFont="1" applyFill="1" applyBorder="1" applyAlignment="1" applyProtection="1">
      <protection hidden="1"/>
    </xf>
    <xf numFmtId="4" fontId="75" fillId="3" borderId="46" xfId="0" applyNumberFormat="1" applyFont="1" applyFill="1" applyBorder="1" applyAlignment="1" applyProtection="1">
      <protection hidden="1"/>
    </xf>
    <xf numFmtId="0" fontId="76" fillId="3" borderId="79" xfId="0" applyFont="1" applyFill="1" applyBorder="1" applyAlignment="1" applyProtection="1">
      <alignment horizontal="left"/>
      <protection hidden="1"/>
    </xf>
    <xf numFmtId="0" fontId="75" fillId="3" borderId="0" xfId="0" applyFont="1" applyFill="1" applyBorder="1" applyProtection="1">
      <protection hidden="1"/>
    </xf>
    <xf numFmtId="0" fontId="76" fillId="3" borderId="0" xfId="0" applyFont="1" applyFill="1" applyBorder="1" applyProtection="1">
      <protection hidden="1"/>
    </xf>
    <xf numFmtId="0" fontId="76" fillId="3" borderId="0" xfId="0" applyFont="1" applyFill="1" applyBorder="1" applyAlignment="1" applyProtection="1">
      <alignment horizontal="right"/>
      <protection hidden="1"/>
    </xf>
    <xf numFmtId="0" fontId="79" fillId="3" borderId="1" xfId="0" applyFont="1" applyFill="1" applyBorder="1" applyProtection="1">
      <protection hidden="1"/>
    </xf>
    <xf numFmtId="0" fontId="79" fillId="3" borderId="0" xfId="0" applyFont="1" applyFill="1" applyBorder="1" applyProtection="1">
      <protection hidden="1"/>
    </xf>
    <xf numFmtId="0" fontId="80" fillId="3" borderId="0" xfId="0" applyFont="1" applyFill="1" applyBorder="1" applyProtection="1">
      <protection hidden="1"/>
    </xf>
    <xf numFmtId="0" fontId="72" fillId="3" borderId="46" xfId="0" applyFont="1" applyFill="1" applyBorder="1" applyProtection="1">
      <protection hidden="1"/>
    </xf>
    <xf numFmtId="4" fontId="72" fillId="3" borderId="0" xfId="0" applyNumberFormat="1" applyFont="1" applyFill="1" applyBorder="1" applyAlignment="1" applyProtection="1">
      <alignment horizontal="right"/>
      <protection hidden="1"/>
    </xf>
    <xf numFmtId="4" fontId="72" fillId="3" borderId="0" xfId="0" applyNumberFormat="1" applyFont="1" applyFill="1" applyBorder="1" applyAlignment="1" applyProtection="1">
      <alignment horizontal="left"/>
      <protection hidden="1"/>
    </xf>
    <xf numFmtId="4" fontId="78" fillId="3" borderId="0" xfId="0" applyNumberFormat="1" applyFont="1" applyFill="1" applyBorder="1" applyAlignment="1" applyProtection="1">
      <alignment horizontal="left" vertical="top"/>
      <protection hidden="1"/>
    </xf>
    <xf numFmtId="4" fontId="69" fillId="3" borderId="0" xfId="0" applyNumberFormat="1" applyFont="1" applyFill="1" applyBorder="1" applyAlignment="1" applyProtection="1">
      <alignment horizontal="right"/>
      <protection hidden="1"/>
    </xf>
    <xf numFmtId="4" fontId="69" fillId="3" borderId="46" xfId="0" applyNumberFormat="1" applyFont="1" applyFill="1" applyBorder="1" applyAlignment="1" applyProtection="1">
      <alignment horizontal="right"/>
      <protection hidden="1"/>
    </xf>
    <xf numFmtId="4" fontId="69" fillId="3" borderId="0" xfId="0" applyNumberFormat="1" applyFont="1" applyFill="1" applyBorder="1" applyAlignment="1" applyProtection="1">
      <protection hidden="1"/>
    </xf>
    <xf numFmtId="0" fontId="79" fillId="3" borderId="0" xfId="0" applyFont="1" applyFill="1" applyBorder="1" applyAlignment="1" applyProtection="1">
      <alignment vertical="top"/>
      <protection hidden="1"/>
    </xf>
    <xf numFmtId="0" fontId="80" fillId="3" borderId="0" xfId="0" applyFont="1" applyFill="1" applyBorder="1" applyAlignment="1" applyProtection="1">
      <alignment vertical="top"/>
      <protection hidden="1"/>
    </xf>
    <xf numFmtId="4" fontId="76" fillId="3" borderId="0" xfId="0" applyNumberFormat="1" applyFont="1" applyFill="1" applyBorder="1" applyAlignment="1" applyProtection="1">
      <alignment horizontal="center"/>
      <protection hidden="1"/>
    </xf>
    <xf numFmtId="4" fontId="76" fillId="3" borderId="46" xfId="0" applyNumberFormat="1" applyFont="1" applyFill="1" applyBorder="1" applyAlignment="1" applyProtection="1">
      <protection hidden="1"/>
    </xf>
    <xf numFmtId="4" fontId="76" fillId="3" borderId="0" xfId="0" applyNumberFormat="1" applyFont="1" applyFill="1" applyBorder="1" applyAlignment="1" applyProtection="1">
      <alignment horizontal="right"/>
      <protection hidden="1"/>
    </xf>
    <xf numFmtId="4" fontId="76" fillId="3" borderId="0" xfId="0" applyNumberFormat="1" applyFont="1" applyFill="1" applyBorder="1" applyProtection="1">
      <protection hidden="1"/>
    </xf>
    <xf numFmtId="0" fontId="76" fillId="3" borderId="46" xfId="0" applyFont="1" applyFill="1" applyBorder="1" applyProtection="1">
      <protection hidden="1"/>
    </xf>
    <xf numFmtId="4" fontId="69" fillId="3" borderId="0" xfId="0" applyNumberFormat="1" applyFont="1" applyFill="1" applyBorder="1" applyAlignment="1" applyProtection="1">
      <alignment horizontal="center"/>
      <protection hidden="1"/>
    </xf>
    <xf numFmtId="4" fontId="69" fillId="3" borderId="2" xfId="0" applyNumberFormat="1" applyFont="1" applyFill="1" applyBorder="1" applyAlignment="1" applyProtection="1">
      <alignment horizontal="center"/>
      <protection hidden="1"/>
    </xf>
    <xf numFmtId="4" fontId="77" fillId="3" borderId="2" xfId="0" applyNumberFormat="1" applyFont="1" applyFill="1" applyBorder="1" applyProtection="1">
      <protection hidden="1"/>
    </xf>
    <xf numFmtId="0" fontId="48" fillId="3" borderId="27" xfId="0" applyFont="1" applyFill="1" applyBorder="1" applyAlignment="1" applyProtection="1">
      <alignment horizontal="right"/>
      <protection hidden="1"/>
    </xf>
    <xf numFmtId="4" fontId="45" fillId="3" borderId="53" xfId="0" applyNumberFormat="1" applyFont="1" applyFill="1" applyBorder="1" applyAlignment="1" applyProtection="1">
      <alignment horizontal="right"/>
      <protection hidden="1"/>
    </xf>
    <xf numFmtId="4" fontId="45" fillId="3" borderId="27" xfId="0" applyNumberFormat="1" applyFont="1" applyFill="1" applyBorder="1" applyAlignment="1" applyProtection="1">
      <alignment horizontal="right"/>
      <protection hidden="1"/>
    </xf>
    <xf numFmtId="0" fontId="47" fillId="3" borderId="27" xfId="0" applyFont="1" applyFill="1" applyBorder="1" applyProtection="1">
      <protection hidden="1"/>
    </xf>
    <xf numFmtId="4" fontId="45" fillId="3" borderId="27" xfId="0" applyNumberFormat="1" applyFont="1" applyFill="1" applyBorder="1" applyProtection="1">
      <protection hidden="1"/>
    </xf>
    <xf numFmtId="4" fontId="48" fillId="3" borderId="27" xfId="0" applyNumberFormat="1" applyFont="1" applyFill="1" applyBorder="1" applyProtection="1">
      <protection hidden="1"/>
    </xf>
    <xf numFmtId="4" fontId="48" fillId="3" borderId="27" xfId="0" applyNumberFormat="1" applyFont="1" applyFill="1" applyBorder="1" applyAlignment="1" applyProtection="1">
      <protection hidden="1"/>
    </xf>
    <xf numFmtId="4" fontId="56" fillId="3" borderId="27" xfId="0" applyNumberFormat="1" applyFont="1" applyFill="1" applyBorder="1" applyAlignment="1" applyProtection="1">
      <protection hidden="1"/>
    </xf>
    <xf numFmtId="4" fontId="56" fillId="3" borderId="53" xfId="0" applyNumberFormat="1" applyFont="1" applyFill="1" applyBorder="1" applyAlignment="1" applyProtection="1">
      <protection hidden="1"/>
    </xf>
    <xf numFmtId="4" fontId="48" fillId="3" borderId="61" xfId="0" applyNumberFormat="1" applyFont="1" applyFill="1" applyBorder="1" applyProtection="1">
      <protection hidden="1"/>
    </xf>
    <xf numFmtId="4" fontId="45" fillId="3" borderId="0" xfId="0" applyNumberFormat="1" applyFont="1" applyFill="1" applyBorder="1" applyAlignment="1" applyProtection="1">
      <alignment horizontal="right"/>
      <protection hidden="1"/>
    </xf>
    <xf numFmtId="4" fontId="45" fillId="3" borderId="0" xfId="0" applyNumberFormat="1" applyFont="1" applyFill="1" applyBorder="1" applyProtection="1">
      <protection hidden="1"/>
    </xf>
    <xf numFmtId="4" fontId="48" fillId="3" borderId="0" xfId="0" applyNumberFormat="1" applyFont="1" applyFill="1" applyBorder="1" applyAlignment="1" applyProtection="1">
      <protection hidden="1"/>
    </xf>
    <xf numFmtId="4" fontId="56" fillId="3" borderId="0" xfId="0" applyNumberFormat="1" applyFont="1" applyFill="1" applyBorder="1" applyAlignment="1" applyProtection="1">
      <protection hidden="1"/>
    </xf>
    <xf numFmtId="4" fontId="48" fillId="3" borderId="2" xfId="0" applyNumberFormat="1" applyFont="1" applyFill="1" applyBorder="1" applyProtection="1">
      <protection hidden="1"/>
    </xf>
    <xf numFmtId="0" fontId="73" fillId="6" borderId="20" xfId="0" applyFont="1" applyFill="1" applyBorder="1" applyProtection="1">
      <protection hidden="1"/>
    </xf>
    <xf numFmtId="0" fontId="69" fillId="6" borderId="66" xfId="0" applyFont="1" applyFill="1" applyBorder="1" applyProtection="1">
      <protection hidden="1"/>
    </xf>
    <xf numFmtId="0" fontId="72" fillId="6" borderId="66" xfId="0" applyFont="1" applyFill="1" applyBorder="1" applyProtection="1">
      <protection hidden="1"/>
    </xf>
    <xf numFmtId="0" fontId="69" fillId="6" borderId="59" xfId="0" applyFont="1" applyFill="1" applyBorder="1" applyProtection="1">
      <protection hidden="1"/>
    </xf>
    <xf numFmtId="0" fontId="69" fillId="6" borderId="77" xfId="0" applyFont="1" applyFill="1" applyBorder="1" applyProtection="1">
      <protection hidden="1"/>
    </xf>
    <xf numFmtId="4" fontId="69" fillId="3" borderId="0" xfId="0" applyNumberFormat="1" applyFont="1" applyFill="1" applyProtection="1">
      <protection hidden="1"/>
    </xf>
    <xf numFmtId="0" fontId="69" fillId="3" borderId="58" xfId="0" applyFont="1" applyFill="1" applyBorder="1" applyProtection="1">
      <protection hidden="1"/>
    </xf>
    <xf numFmtId="0" fontId="69" fillId="3" borderId="70" xfId="0" applyFont="1" applyFill="1" applyBorder="1" applyProtection="1">
      <protection hidden="1"/>
    </xf>
    <xf numFmtId="0" fontId="69" fillId="3" borderId="1" xfId="0" applyFont="1" applyFill="1" applyBorder="1" applyAlignment="1" applyProtection="1">
      <alignment horizontal="left"/>
      <protection hidden="1"/>
    </xf>
    <xf numFmtId="0" fontId="69" fillId="3" borderId="0" xfId="0" applyFont="1" applyFill="1" applyBorder="1" applyAlignment="1" applyProtection="1">
      <alignment horizontal="left"/>
      <protection hidden="1"/>
    </xf>
    <xf numFmtId="0" fontId="71" fillId="3" borderId="0" xfId="0" applyFont="1" applyFill="1" applyBorder="1" applyProtection="1">
      <protection hidden="1"/>
    </xf>
    <xf numFmtId="0" fontId="76" fillId="3" borderId="55" xfId="0" applyFont="1" applyFill="1" applyBorder="1" applyProtection="1">
      <protection hidden="1"/>
    </xf>
    <xf numFmtId="0" fontId="69" fillId="3" borderId="2" xfId="0" applyFont="1" applyFill="1" applyBorder="1" applyProtection="1">
      <protection hidden="1"/>
    </xf>
    <xf numFmtId="0" fontId="81" fillId="3" borderId="0" xfId="0" applyFont="1" applyFill="1" applyBorder="1" applyProtection="1">
      <protection hidden="1"/>
    </xf>
    <xf numFmtId="0" fontId="71" fillId="3" borderId="1" xfId="0" applyFont="1" applyFill="1" applyBorder="1" applyProtection="1">
      <protection hidden="1"/>
    </xf>
    <xf numFmtId="0" fontId="83" fillId="3" borderId="0" xfId="0" applyFont="1" applyFill="1" applyBorder="1" applyProtection="1">
      <protection hidden="1"/>
    </xf>
    <xf numFmtId="0" fontId="69" fillId="3" borderId="55" xfId="0" applyFont="1" applyFill="1" applyBorder="1" applyProtection="1">
      <protection hidden="1"/>
    </xf>
    <xf numFmtId="0" fontId="73" fillId="3" borderId="0" xfId="0" applyFont="1" applyFill="1" applyBorder="1" applyAlignment="1" applyProtection="1">
      <alignment horizontal="center"/>
      <protection hidden="1"/>
    </xf>
    <xf numFmtId="0" fontId="83" fillId="3" borderId="27" xfId="0" applyFont="1" applyFill="1" applyBorder="1" applyProtection="1">
      <protection hidden="1"/>
    </xf>
    <xf numFmtId="0" fontId="84" fillId="3" borderId="27" xfId="0" applyFont="1" applyFill="1" applyBorder="1" applyAlignment="1" applyProtection="1">
      <alignment horizontal="center"/>
      <protection hidden="1"/>
    </xf>
    <xf numFmtId="0" fontId="72" fillId="3" borderId="27" xfId="0" applyFont="1" applyFill="1" applyBorder="1" applyProtection="1">
      <protection hidden="1"/>
    </xf>
    <xf numFmtId="0" fontId="76" fillId="3" borderId="0" xfId="0" applyFont="1" applyFill="1" applyBorder="1" applyAlignment="1" applyProtection="1">
      <alignment horizontal="center"/>
      <protection hidden="1"/>
    </xf>
    <xf numFmtId="0" fontId="84" fillId="3" borderId="0" xfId="0" applyFont="1" applyFill="1" applyBorder="1" applyAlignment="1" applyProtection="1">
      <alignment horizontal="center"/>
      <protection hidden="1"/>
    </xf>
    <xf numFmtId="0" fontId="73" fillId="3" borderId="0" xfId="0" applyFont="1" applyFill="1" applyBorder="1" applyAlignment="1" applyProtection="1">
      <alignment horizontal="left"/>
      <protection hidden="1"/>
    </xf>
    <xf numFmtId="4" fontId="46" fillId="3" borderId="0" xfId="0" applyNumberFormat="1" applyFont="1" applyFill="1" applyBorder="1" applyAlignment="1" applyProtection="1">
      <alignment horizontal="left"/>
      <protection hidden="1"/>
    </xf>
    <xf numFmtId="4" fontId="49" fillId="3" borderId="0" xfId="0" applyNumberFormat="1" applyFont="1" applyFill="1" applyBorder="1" applyAlignment="1" applyProtection="1">
      <alignment horizontal="center"/>
      <protection hidden="1"/>
    </xf>
    <xf numFmtId="4" fontId="49" fillId="6" borderId="76" xfId="0" applyNumberFormat="1" applyFont="1" applyFill="1" applyBorder="1" applyAlignment="1" applyProtection="1">
      <alignment horizontal="center"/>
      <protection hidden="1"/>
    </xf>
    <xf numFmtId="0" fontId="48" fillId="3" borderId="0" xfId="0" applyFont="1" applyFill="1" applyBorder="1" applyAlignment="1" applyProtection="1">
      <protection hidden="1"/>
    </xf>
    <xf numFmtId="4" fontId="49" fillId="6" borderId="31" xfId="0" applyNumberFormat="1" applyFont="1" applyFill="1" applyBorder="1" applyAlignment="1" applyProtection="1">
      <alignment horizontal="center"/>
      <protection hidden="1"/>
    </xf>
    <xf numFmtId="0" fontId="69" fillId="3" borderId="7" xfId="0" applyFont="1" applyFill="1" applyBorder="1" applyProtection="1">
      <protection hidden="1"/>
    </xf>
    <xf numFmtId="0" fontId="69" fillId="3" borderId="8" xfId="0" applyFont="1" applyFill="1" applyBorder="1" applyProtection="1">
      <protection hidden="1"/>
    </xf>
    <xf numFmtId="0" fontId="73" fillId="3" borderId="8" xfId="0" applyFont="1" applyFill="1" applyBorder="1" applyAlignment="1" applyProtection="1">
      <alignment horizontal="center"/>
      <protection hidden="1"/>
    </xf>
    <xf numFmtId="0" fontId="74" fillId="3" borderId="80" xfId="0" applyFont="1" applyFill="1" applyBorder="1" applyProtection="1">
      <protection hidden="1"/>
    </xf>
    <xf numFmtId="0" fontId="69" fillId="3" borderId="9" xfId="0" applyFont="1" applyFill="1" applyBorder="1" applyProtection="1">
      <protection hidden="1"/>
    </xf>
    <xf numFmtId="0" fontId="54" fillId="3" borderId="0" xfId="0" applyFont="1" applyFill="1" applyAlignment="1" applyProtection="1">
      <protection hidden="1"/>
    </xf>
    <xf numFmtId="0" fontId="54" fillId="3" borderId="0" xfId="0" applyFont="1" applyFill="1" applyBorder="1" applyProtection="1">
      <protection hidden="1"/>
    </xf>
    <xf numFmtId="0" fontId="51" fillId="3" borderId="0" xfId="0" applyFont="1" applyFill="1" applyProtection="1">
      <protection hidden="1"/>
    </xf>
    <xf numFmtId="0" fontId="26" fillId="3" borderId="0" xfId="0" applyFont="1" applyFill="1" applyProtection="1">
      <protection hidden="1"/>
    </xf>
    <xf numFmtId="14" fontId="85" fillId="0" borderId="0" xfId="0" applyNumberFormat="1" applyFont="1" applyBorder="1" applyAlignment="1" applyProtection="1">
      <alignment horizontal="centerContinuous"/>
      <protection hidden="1"/>
    </xf>
    <xf numFmtId="0" fontId="86" fillId="3" borderId="0" xfId="0" applyFont="1" applyFill="1" applyProtection="1">
      <protection hidden="1"/>
    </xf>
    <xf numFmtId="0" fontId="88" fillId="3" borderId="0" xfId="0" applyFont="1" applyFill="1" applyProtection="1">
      <protection hidden="1"/>
    </xf>
    <xf numFmtId="14" fontId="88" fillId="3" borderId="0" xfId="0" applyNumberFormat="1" applyFont="1" applyFill="1" applyAlignment="1" applyProtection="1">
      <alignment horizontal="right"/>
      <protection hidden="1"/>
    </xf>
    <xf numFmtId="0" fontId="88" fillId="3" borderId="0" xfId="0" applyFont="1" applyFill="1" applyAlignment="1" applyProtection="1">
      <protection hidden="1"/>
    </xf>
    <xf numFmtId="0" fontId="89" fillId="3" borderId="0" xfId="0" applyFont="1" applyFill="1" applyProtection="1">
      <protection hidden="1"/>
    </xf>
    <xf numFmtId="0" fontId="15" fillId="2" borderId="3" xfId="4" applyFont="1" applyFill="1" applyBorder="1" applyAlignment="1" applyProtection="1">
      <alignment horizontal="center" vertical="center"/>
      <protection locked="0"/>
    </xf>
    <xf numFmtId="0" fontId="54" fillId="3" borderId="0" xfId="0" applyFont="1" applyFill="1" applyBorder="1" applyAlignment="1" applyProtection="1">
      <alignment horizontal="center" vertical="justify" wrapText="1"/>
      <protection hidden="1"/>
    </xf>
    <xf numFmtId="0" fontId="54" fillId="3" borderId="27" xfId="0" applyFont="1" applyFill="1" applyBorder="1" applyAlignment="1" applyProtection="1">
      <alignment horizontal="center" vertical="justify" wrapText="1"/>
      <protection hidden="1"/>
    </xf>
    <xf numFmtId="14" fontId="6" fillId="3" borderId="78" xfId="0" applyNumberFormat="1" applyFont="1" applyFill="1" applyBorder="1" applyAlignment="1" applyProtection="1">
      <alignment horizontal="center"/>
      <protection hidden="1"/>
    </xf>
    <xf numFmtId="0" fontId="69" fillId="3" borderId="0" xfId="0" applyFont="1" applyFill="1" applyBorder="1" applyAlignment="1" applyProtection="1">
      <alignment horizontal="center" vertical="center"/>
      <protection hidden="1"/>
    </xf>
    <xf numFmtId="4" fontId="72" fillId="3" borderId="0" xfId="0" applyNumberFormat="1" applyFont="1" applyFill="1" applyBorder="1" applyAlignment="1" applyProtection="1">
      <alignment horizontal="center" vertical="center"/>
      <protection hidden="1"/>
    </xf>
    <xf numFmtId="0" fontId="69" fillId="3" borderId="46" xfId="0" applyFont="1" applyFill="1" applyBorder="1" applyAlignment="1" applyProtection="1">
      <alignment horizontal="center" vertical="center"/>
      <protection hidden="1"/>
    </xf>
    <xf numFmtId="4" fontId="37" fillId="3" borderId="0" xfId="0" applyNumberFormat="1" applyFont="1" applyFill="1" applyBorder="1" applyAlignment="1" applyProtection="1">
      <alignment horizontal="center" vertical="center"/>
      <protection hidden="1"/>
    </xf>
    <xf numFmtId="4" fontId="69" fillId="3" borderId="0" xfId="0" applyNumberFormat="1" applyFont="1" applyFill="1" applyBorder="1" applyAlignment="1" applyProtection="1">
      <alignment horizontal="left" vertical="center"/>
      <protection hidden="1"/>
    </xf>
    <xf numFmtId="0" fontId="69" fillId="3" borderId="0" xfId="0" applyFont="1" applyFill="1" applyBorder="1" applyAlignment="1" applyProtection="1">
      <alignment horizontal="left" vertical="center"/>
      <protection hidden="1"/>
    </xf>
    <xf numFmtId="3" fontId="91" fillId="6" borderId="76" xfId="0" applyNumberFormat="1" applyFont="1" applyFill="1" applyBorder="1" applyAlignment="1" applyProtection="1">
      <protection hidden="1"/>
    </xf>
    <xf numFmtId="0" fontId="93" fillId="3" borderId="0" xfId="0" applyFont="1" applyFill="1" applyBorder="1" applyProtection="1">
      <protection hidden="1"/>
    </xf>
    <xf numFmtId="4" fontId="92" fillId="6" borderId="76" xfId="0" applyNumberFormat="1" applyFont="1" applyFill="1" applyBorder="1" applyAlignment="1" applyProtection="1">
      <protection hidden="1"/>
    </xf>
    <xf numFmtId="3" fontId="94" fillId="6" borderId="76" xfId="0" applyNumberFormat="1" applyFont="1" applyFill="1" applyBorder="1" applyAlignment="1" applyProtection="1">
      <protection hidden="1"/>
    </xf>
    <xf numFmtId="3" fontId="94" fillId="3" borderId="0" xfId="0" applyNumberFormat="1" applyFont="1" applyFill="1" applyBorder="1" applyAlignment="1" applyProtection="1">
      <alignment horizontal="center"/>
      <protection hidden="1"/>
    </xf>
    <xf numFmtId="0" fontId="95" fillId="3" borderId="0" xfId="0" applyFont="1" applyFill="1" applyBorder="1" applyProtection="1">
      <protection hidden="1"/>
    </xf>
    <xf numFmtId="4" fontId="94" fillId="6" borderId="76" xfId="0" applyNumberFormat="1" applyFont="1" applyFill="1" applyBorder="1" applyAlignment="1" applyProtection="1">
      <protection hidden="1"/>
    </xf>
    <xf numFmtId="0" fontId="96" fillId="3" borderId="0" xfId="0" applyFont="1" applyFill="1" applyBorder="1" applyProtection="1">
      <protection hidden="1"/>
    </xf>
    <xf numFmtId="4" fontId="96" fillId="6" borderId="76" xfId="0" applyNumberFormat="1" applyFont="1" applyFill="1" applyBorder="1" applyAlignment="1" applyProtection="1">
      <protection hidden="1"/>
    </xf>
    <xf numFmtId="0" fontId="96" fillId="3" borderId="27" xfId="0" applyFont="1" applyFill="1" applyBorder="1" applyProtection="1">
      <protection hidden="1"/>
    </xf>
    <xf numFmtId="14" fontId="4" fillId="0" borderId="0" xfId="0" applyNumberFormat="1" applyFont="1" applyFill="1" applyProtection="1">
      <protection hidden="1"/>
    </xf>
    <xf numFmtId="14" fontId="4" fillId="0" borderId="0" xfId="4" applyNumberFormat="1" applyFont="1" applyFill="1" applyAlignment="1" applyProtection="1">
      <alignment vertical="center"/>
      <protection hidden="1"/>
    </xf>
    <xf numFmtId="1" fontId="6" fillId="2" borderId="3" xfId="4" applyNumberFormat="1" applyFont="1" applyFill="1" applyBorder="1" applyAlignment="1" applyProtection="1">
      <alignment horizontal="center" vertical="center"/>
      <protection locked="0"/>
    </xf>
    <xf numFmtId="0" fontId="24" fillId="0" borderId="8" xfId="4" applyFont="1" applyFill="1" applyBorder="1" applyAlignment="1" applyProtection="1">
      <alignment vertical="center"/>
      <protection hidden="1"/>
    </xf>
    <xf numFmtId="0" fontId="28" fillId="0" borderId="8" xfId="4" applyFont="1" applyFill="1" applyBorder="1" applyAlignment="1" applyProtection="1">
      <alignment horizontal="center" vertical="center"/>
      <protection hidden="1"/>
    </xf>
    <xf numFmtId="0" fontId="10" fillId="0" borderId="8" xfId="4" applyFont="1" applyFill="1" applyBorder="1" applyAlignment="1" applyProtection="1">
      <alignment horizontal="centerContinuous" vertical="center"/>
      <protection hidden="1"/>
    </xf>
    <xf numFmtId="0" fontId="10" fillId="0" borderId="7" xfId="4" applyFont="1" applyFill="1" applyBorder="1" applyAlignment="1" applyProtection="1">
      <alignment horizontal="centerContinuous" vertical="center"/>
      <protection hidden="1"/>
    </xf>
    <xf numFmtId="0" fontId="64" fillId="0" borderId="0" xfId="0" applyFont="1" applyFill="1" applyBorder="1" applyAlignment="1" applyProtection="1">
      <alignment horizontal="left"/>
      <protection hidden="1"/>
    </xf>
    <xf numFmtId="0" fontId="6" fillId="0" borderId="78" xfId="4" applyFont="1" applyFill="1" applyBorder="1" applyAlignment="1" applyProtection="1">
      <alignment horizontal="center" vertical="center"/>
      <protection hidden="1"/>
    </xf>
    <xf numFmtId="0" fontId="88" fillId="7" borderId="47" xfId="0" applyFont="1" applyFill="1" applyBorder="1" applyAlignment="1" applyProtection="1">
      <alignment horizontal="centerContinuous"/>
      <protection hidden="1"/>
    </xf>
    <xf numFmtId="0" fontId="88" fillId="7" borderId="24" xfId="0" applyFont="1" applyFill="1" applyBorder="1" applyAlignment="1" applyProtection="1">
      <alignment horizontal="centerContinuous"/>
      <protection hidden="1"/>
    </xf>
    <xf numFmtId="0" fontId="100" fillId="7" borderId="24" xfId="4" applyFont="1" applyFill="1" applyBorder="1" applyAlignment="1" applyProtection="1">
      <alignment horizontal="center" vertical="center"/>
      <protection hidden="1"/>
    </xf>
    <xf numFmtId="0" fontId="88" fillId="7" borderId="48" xfId="0" applyFont="1" applyFill="1" applyBorder="1" applyAlignment="1" applyProtection="1">
      <alignment horizontal="centerContinuous"/>
      <protection hidden="1"/>
    </xf>
    <xf numFmtId="0" fontId="90" fillId="7" borderId="24" xfId="0" applyFont="1" applyFill="1" applyBorder="1" applyAlignment="1" applyProtection="1">
      <alignment horizontal="centerContinuous"/>
      <protection hidden="1"/>
    </xf>
    <xf numFmtId="0" fontId="100" fillId="7" borderId="34" xfId="4" applyFont="1" applyFill="1" applyBorder="1" applyAlignment="1" applyProtection="1">
      <alignment horizontal="centerContinuous" vertical="center"/>
      <protection hidden="1"/>
    </xf>
    <xf numFmtId="0" fontId="100" fillId="7" borderId="10" xfId="4" applyFont="1" applyFill="1" applyBorder="1" applyAlignment="1" applyProtection="1">
      <alignment horizontal="centerContinuous" vertical="center"/>
      <protection hidden="1"/>
    </xf>
    <xf numFmtId="0" fontId="100" fillId="7" borderId="10" xfId="4" applyFont="1" applyFill="1" applyBorder="1" applyAlignment="1" applyProtection="1">
      <alignment horizontal="center" vertical="center"/>
      <protection hidden="1"/>
    </xf>
    <xf numFmtId="0" fontId="101" fillId="7" borderId="10" xfId="4" applyFont="1" applyFill="1" applyBorder="1" applyAlignment="1" applyProtection="1">
      <alignment horizontal="center" vertical="center"/>
      <protection hidden="1"/>
    </xf>
    <xf numFmtId="0" fontId="100" fillId="7" borderId="31" xfId="4" applyFont="1" applyFill="1" applyBorder="1" applyAlignment="1" applyProtection="1">
      <alignment horizontal="center" vertical="center"/>
      <protection hidden="1"/>
    </xf>
    <xf numFmtId="0" fontId="102" fillId="7" borderId="54" xfId="4" applyFont="1" applyFill="1" applyBorder="1" applyAlignment="1" applyProtection="1">
      <alignment horizontal="left" vertical="center"/>
      <protection hidden="1"/>
    </xf>
    <xf numFmtId="167" fontId="103" fillId="7" borderId="81" xfId="4" applyNumberFormat="1" applyFont="1" applyFill="1" applyBorder="1" applyAlignment="1" applyProtection="1">
      <alignment horizontal="right" vertical="center"/>
      <protection hidden="1"/>
    </xf>
    <xf numFmtId="3" fontId="104" fillId="7" borderId="81" xfId="4" applyNumberFormat="1" applyFont="1" applyFill="1" applyBorder="1" applyAlignment="1" applyProtection="1">
      <alignment horizontal="right" vertical="center"/>
      <protection hidden="1"/>
    </xf>
    <xf numFmtId="168" fontId="104" fillId="7" borderId="81" xfId="4" applyNumberFormat="1" applyFont="1" applyFill="1" applyBorder="1" applyAlignment="1" applyProtection="1">
      <alignment horizontal="center" vertical="center"/>
      <protection hidden="1"/>
    </xf>
    <xf numFmtId="165" fontId="105" fillId="7" borderId="82" xfId="4" applyNumberFormat="1" applyFont="1" applyFill="1" applyBorder="1" applyAlignment="1" applyProtection="1">
      <alignment horizontal="center" vertical="center"/>
      <protection hidden="1"/>
    </xf>
    <xf numFmtId="0" fontId="15" fillId="5" borderId="11" xfId="0" applyFont="1" applyFill="1" applyBorder="1" applyAlignment="1" applyProtection="1">
      <alignment horizontal="center"/>
      <protection hidden="1"/>
    </xf>
    <xf numFmtId="0" fontId="13" fillId="5" borderId="4" xfId="4" applyFont="1" applyFill="1" applyBorder="1" applyAlignment="1" applyProtection="1">
      <alignment horizontal="right" vertical="center"/>
      <protection hidden="1"/>
    </xf>
    <xf numFmtId="0" fontId="21" fillId="5" borderId="4" xfId="4" applyFont="1" applyFill="1" applyBorder="1" applyAlignment="1" applyProtection="1">
      <alignment horizontal="center" vertical="center"/>
      <protection hidden="1"/>
    </xf>
    <xf numFmtId="0" fontId="13" fillId="5" borderId="4" xfId="4" applyFont="1" applyFill="1" applyBorder="1" applyAlignment="1" applyProtection="1">
      <alignment vertical="center"/>
      <protection hidden="1"/>
    </xf>
    <xf numFmtId="0" fontId="13" fillId="5" borderId="12" xfId="4" applyFont="1" applyFill="1" applyBorder="1" applyAlignment="1" applyProtection="1">
      <alignment vertical="center"/>
      <protection hidden="1"/>
    </xf>
    <xf numFmtId="0" fontId="15" fillId="5" borderId="34" xfId="0" applyFont="1" applyFill="1" applyBorder="1" applyAlignment="1" applyProtection="1">
      <alignment horizontal="center"/>
      <protection hidden="1"/>
    </xf>
    <xf numFmtId="0" fontId="28" fillId="5" borderId="10" xfId="4" applyFont="1" applyFill="1" applyBorder="1" applyAlignment="1" applyProtection="1">
      <alignment horizontal="right" vertical="center"/>
      <protection hidden="1"/>
    </xf>
    <xf numFmtId="0" fontId="28" fillId="5" borderId="10" xfId="4" applyFont="1" applyFill="1" applyBorder="1" applyAlignment="1" applyProtection="1">
      <alignment vertical="center"/>
      <protection hidden="1"/>
    </xf>
    <xf numFmtId="0" fontId="28" fillId="5" borderId="31" xfId="4" applyFont="1" applyFill="1" applyBorder="1" applyAlignment="1" applyProtection="1">
      <alignment vertical="center"/>
      <protection hidden="1"/>
    </xf>
    <xf numFmtId="0" fontId="104" fillId="7" borderId="54" xfId="4" applyFont="1" applyFill="1" applyBorder="1" applyAlignment="1" applyProtection="1">
      <alignment horizontal="left" vertical="center"/>
      <protection hidden="1"/>
    </xf>
    <xf numFmtId="170" fontId="104" fillId="7" borderId="81" xfId="4" applyNumberFormat="1" applyFont="1" applyFill="1" applyBorder="1" applyAlignment="1" applyProtection="1">
      <alignment horizontal="right" vertical="center"/>
      <protection hidden="1"/>
    </xf>
    <xf numFmtId="165" fontId="104" fillId="7" borderId="82" xfId="4" applyNumberFormat="1" applyFont="1" applyFill="1" applyBorder="1" applyAlignment="1" applyProtection="1">
      <alignment horizontal="center" vertical="center"/>
      <protection hidden="1"/>
    </xf>
    <xf numFmtId="0" fontId="106" fillId="7" borderId="34" xfId="4" applyFont="1" applyFill="1" applyBorder="1" applyAlignment="1" applyProtection="1">
      <alignment horizontal="left" vertical="center"/>
      <protection hidden="1"/>
    </xf>
    <xf numFmtId="167" fontId="107" fillId="7" borderId="10" xfId="4" applyNumberFormat="1" applyFont="1" applyFill="1" applyBorder="1" applyAlignment="1" applyProtection="1">
      <alignment horizontal="right" vertical="center"/>
      <protection hidden="1"/>
    </xf>
    <xf numFmtId="3" fontId="106" fillId="7" borderId="10" xfId="4" applyNumberFormat="1" applyFont="1" applyFill="1" applyBorder="1" applyAlignment="1" applyProtection="1">
      <alignment horizontal="right" vertical="center"/>
      <protection hidden="1"/>
    </xf>
    <xf numFmtId="168" fontId="106" fillId="7" borderId="10" xfId="4" applyNumberFormat="1" applyFont="1" applyFill="1" applyBorder="1" applyAlignment="1" applyProtection="1">
      <alignment horizontal="right" vertical="center"/>
      <protection hidden="1"/>
    </xf>
    <xf numFmtId="173" fontId="103" fillId="7" borderId="31" xfId="0" applyNumberFormat="1" applyFont="1" applyFill="1" applyBorder="1" applyAlignment="1" applyProtection="1">
      <alignment horizontal="center" vertical="center"/>
      <protection hidden="1"/>
    </xf>
    <xf numFmtId="0" fontId="65" fillId="0" borderId="0" xfId="4" applyFont="1" applyFill="1" applyAlignment="1" applyProtection="1">
      <alignment vertical="center"/>
      <protection hidden="1"/>
    </xf>
    <xf numFmtId="0" fontId="21" fillId="5" borderId="11" xfId="0" applyFont="1" applyFill="1" applyBorder="1" applyAlignment="1" applyProtection="1">
      <alignment horizontal="center"/>
      <protection hidden="1"/>
    </xf>
    <xf numFmtId="0" fontId="22" fillId="5" borderId="4" xfId="4" applyFont="1" applyFill="1" applyBorder="1" applyAlignment="1" applyProtection="1">
      <alignment horizontal="right" vertical="center"/>
      <protection hidden="1"/>
    </xf>
    <xf numFmtId="0" fontId="18" fillId="5" borderId="34" xfId="4" applyFont="1" applyFill="1" applyBorder="1" applyAlignment="1" applyProtection="1">
      <alignment horizontal="center" vertical="center"/>
      <protection hidden="1"/>
    </xf>
    <xf numFmtId="0" fontId="18" fillId="5" borderId="10" xfId="4" applyFont="1" applyFill="1" applyBorder="1" applyAlignment="1" applyProtection="1">
      <alignment horizontal="centerContinuous" vertical="center"/>
      <protection hidden="1"/>
    </xf>
    <xf numFmtId="0" fontId="18" fillId="5" borderId="83" xfId="4" applyFont="1" applyFill="1" applyBorder="1" applyAlignment="1" applyProtection="1">
      <alignment horizontal="center" vertical="center"/>
      <protection hidden="1"/>
    </xf>
    <xf numFmtId="0" fontId="18" fillId="5" borderId="31" xfId="4" applyFont="1" applyFill="1" applyBorder="1" applyAlignment="1" applyProtection="1">
      <alignment horizontal="center" vertical="center"/>
      <protection hidden="1"/>
    </xf>
    <xf numFmtId="0" fontId="98" fillId="7" borderId="34" xfId="0" applyFont="1" applyFill="1" applyBorder="1" applyAlignment="1" applyProtection="1">
      <alignment vertical="center" wrapText="1"/>
      <protection hidden="1"/>
    </xf>
    <xf numFmtId="0" fontId="109" fillId="3" borderId="0" xfId="0" applyFont="1" applyFill="1" applyProtection="1">
      <protection hidden="1"/>
    </xf>
    <xf numFmtId="0" fontId="110" fillId="3" borderId="0" xfId="0" applyFont="1" applyFill="1" applyProtection="1">
      <protection hidden="1"/>
    </xf>
    <xf numFmtId="171" fontId="109" fillId="3" borderId="0" xfId="0" applyNumberFormat="1" applyFont="1" applyFill="1" applyAlignment="1" applyProtection="1">
      <alignment horizontal="right"/>
      <protection hidden="1"/>
    </xf>
    <xf numFmtId="173" fontId="110" fillId="3" borderId="0" xfId="0" applyNumberFormat="1" applyFont="1" applyFill="1" applyProtection="1">
      <protection hidden="1"/>
    </xf>
    <xf numFmtId="14" fontId="97" fillId="0" borderId="0" xfId="0" applyNumberFormat="1" applyFont="1" applyProtection="1">
      <protection hidden="1"/>
    </xf>
    <xf numFmtId="169" fontId="62" fillId="3" borderId="2" xfId="4" applyNumberFormat="1" applyFont="1" applyFill="1" applyBorder="1" applyAlignment="1" applyProtection="1">
      <alignment horizontal="center" vertical="center"/>
      <protection hidden="1"/>
    </xf>
    <xf numFmtId="0" fontId="6" fillId="2" borderId="84" xfId="4" applyFont="1" applyFill="1" applyBorder="1" applyAlignment="1" applyProtection="1">
      <alignment horizontal="center" vertical="center"/>
      <protection locked="0"/>
    </xf>
    <xf numFmtId="0" fontId="15" fillId="5" borderId="11" xfId="4" applyFont="1" applyFill="1" applyBorder="1" applyAlignment="1" applyProtection="1">
      <alignment horizontal="left" vertical="center"/>
      <protection hidden="1"/>
    </xf>
    <xf numFmtId="167" fontId="16" fillId="5" borderId="4" xfId="4" applyNumberFormat="1" applyFont="1" applyFill="1" applyBorder="1" applyAlignment="1" applyProtection="1">
      <alignment horizontal="right" vertical="center"/>
      <protection hidden="1"/>
    </xf>
    <xf numFmtId="3" fontId="15" fillId="5" borderId="4" xfId="4" applyNumberFormat="1" applyFont="1" applyFill="1" applyBorder="1" applyAlignment="1" applyProtection="1">
      <alignment horizontal="right" vertical="center"/>
      <protection hidden="1"/>
    </xf>
    <xf numFmtId="168" fontId="15" fillId="5" borderId="4" xfId="4" applyNumberFormat="1" applyFont="1" applyFill="1" applyBorder="1" applyAlignment="1" applyProtection="1">
      <alignment horizontal="center" vertical="center"/>
      <protection hidden="1"/>
    </xf>
    <xf numFmtId="165" fontId="15" fillId="5" borderId="12" xfId="4" applyNumberFormat="1" applyFont="1" applyFill="1" applyBorder="1" applyAlignment="1" applyProtection="1">
      <alignment horizontal="center" vertical="center"/>
      <protection hidden="1"/>
    </xf>
    <xf numFmtId="0" fontId="15" fillId="5" borderId="7" xfId="4" applyFont="1" applyFill="1" applyBorder="1" applyAlignment="1" applyProtection="1">
      <alignment horizontal="left" vertical="center"/>
      <protection hidden="1"/>
    </xf>
    <xf numFmtId="167" fontId="16" fillId="5" borderId="8" xfId="4" applyNumberFormat="1" applyFont="1" applyFill="1" applyBorder="1" applyAlignment="1" applyProtection="1">
      <alignment horizontal="right" vertical="center"/>
      <protection hidden="1"/>
    </xf>
    <xf numFmtId="3" fontId="15" fillId="5" borderId="8" xfId="4" applyNumberFormat="1" applyFont="1" applyFill="1" applyBorder="1" applyAlignment="1" applyProtection="1">
      <alignment horizontal="right" vertical="center"/>
      <protection hidden="1"/>
    </xf>
    <xf numFmtId="168" fontId="15" fillId="5" borderId="8" xfId="4" applyNumberFormat="1" applyFont="1" applyFill="1" applyBorder="1" applyAlignment="1" applyProtection="1">
      <alignment horizontal="center" vertical="center"/>
      <protection hidden="1"/>
    </xf>
    <xf numFmtId="0" fontId="64" fillId="0" borderId="0" xfId="0" applyFont="1" applyFill="1" applyAlignment="1" applyProtection="1">
      <alignment horizontal="left"/>
      <protection hidden="1"/>
    </xf>
    <xf numFmtId="0" fontId="65" fillId="0" borderId="0" xfId="0" applyFont="1" applyFill="1" applyProtection="1">
      <protection hidden="1"/>
    </xf>
    <xf numFmtId="3" fontId="64" fillId="0" borderId="0" xfId="0" applyNumberFormat="1" applyFont="1" applyFill="1" applyBorder="1" applyAlignment="1" applyProtection="1">
      <alignment horizontal="left"/>
      <protection hidden="1"/>
    </xf>
    <xf numFmtId="0" fontId="64" fillId="0" borderId="0" xfId="0" applyFont="1" applyFill="1" applyProtection="1">
      <protection hidden="1"/>
    </xf>
    <xf numFmtId="0" fontId="64" fillId="0" borderId="0" xfId="0" applyFont="1" applyFill="1" applyAlignment="1" applyProtection="1">
      <alignment vertical="center"/>
      <protection hidden="1"/>
    </xf>
    <xf numFmtId="168" fontId="64" fillId="0" borderId="1" xfId="0" applyNumberFormat="1" applyFont="1" applyFill="1" applyBorder="1" applyAlignment="1" applyProtection="1">
      <alignment vertical="top"/>
      <protection hidden="1"/>
    </xf>
    <xf numFmtId="0" fontId="64" fillId="0" borderId="1" xfId="0" applyFont="1" applyFill="1" applyBorder="1" applyAlignment="1" applyProtection="1">
      <alignment horizontal="left" vertical="top"/>
      <protection hidden="1"/>
    </xf>
    <xf numFmtId="0" fontId="65" fillId="0" borderId="1" xfId="0" applyFont="1" applyFill="1" applyBorder="1" applyAlignment="1" applyProtection="1">
      <protection hidden="1"/>
    </xf>
    <xf numFmtId="168" fontId="87" fillId="0" borderId="0" xfId="0" applyNumberFormat="1" applyFont="1" applyFill="1" applyProtection="1">
      <protection hidden="1"/>
    </xf>
    <xf numFmtId="0" fontId="86" fillId="0" borderId="0" xfId="0" applyFont="1" applyFill="1" applyProtection="1">
      <protection hidden="1"/>
    </xf>
    <xf numFmtId="0" fontId="10" fillId="5" borderId="13" xfId="4" applyFont="1" applyFill="1" applyBorder="1" applyAlignment="1" applyProtection="1">
      <alignment horizontal="center" vertical="center"/>
      <protection hidden="1"/>
    </xf>
    <xf numFmtId="0" fontId="10" fillId="5" borderId="12" xfId="4" applyFont="1" applyFill="1" applyBorder="1" applyAlignment="1" applyProtection="1">
      <alignment horizontal="center" vertical="center"/>
      <protection hidden="1"/>
    </xf>
    <xf numFmtId="0" fontId="32" fillId="3" borderId="10" xfId="0" applyFont="1" applyFill="1" applyBorder="1" applyAlignment="1" applyProtection="1">
      <alignment horizontal="center"/>
      <protection hidden="1"/>
    </xf>
    <xf numFmtId="0" fontId="88" fillId="0" borderId="0" xfId="0" applyFont="1" applyFill="1" applyBorder="1" applyProtection="1">
      <protection hidden="1"/>
    </xf>
    <xf numFmtId="0" fontId="49" fillId="4" borderId="30" xfId="0" applyFont="1" applyFill="1" applyBorder="1" applyProtection="1">
      <protection hidden="1"/>
    </xf>
    <xf numFmtId="0" fontId="49" fillId="4" borderId="31" xfId="0" applyFont="1" applyFill="1" applyBorder="1" applyAlignment="1" applyProtection="1">
      <alignment horizontal="center"/>
      <protection hidden="1"/>
    </xf>
    <xf numFmtId="171" fontId="15" fillId="3" borderId="0" xfId="0" applyNumberFormat="1" applyFont="1" applyFill="1" applyAlignment="1" applyProtection="1">
      <alignment horizontal="right"/>
      <protection hidden="1"/>
    </xf>
    <xf numFmtId="0" fontId="0" fillId="8" borderId="0" xfId="0" applyFill="1" applyProtection="1">
      <protection hidden="1"/>
    </xf>
    <xf numFmtId="0" fontId="5" fillId="8" borderId="0" xfId="0" applyFont="1" applyFill="1" applyAlignment="1" applyProtection="1">
      <alignment horizontal="right" vertical="center"/>
      <protection hidden="1"/>
    </xf>
    <xf numFmtId="0" fontId="5" fillId="8" borderId="21" xfId="0" applyFont="1" applyFill="1" applyBorder="1" applyAlignment="1" applyProtection="1">
      <alignment horizontal="center" vertical="center"/>
      <protection hidden="1"/>
    </xf>
    <xf numFmtId="0" fontId="113" fillId="8" borderId="19" xfId="0" applyFont="1" applyFill="1" applyBorder="1" applyAlignment="1" applyProtection="1">
      <alignment horizontal="center" vertical="center"/>
      <protection hidden="1"/>
    </xf>
    <xf numFmtId="0" fontId="2" fillId="8" borderId="16" xfId="0" applyFont="1" applyFill="1" applyBorder="1" applyAlignment="1" applyProtection="1">
      <alignment horizontal="center" vertical="center"/>
      <protection hidden="1"/>
    </xf>
    <xf numFmtId="0" fontId="2" fillId="8" borderId="23" xfId="0" applyFont="1" applyFill="1" applyBorder="1" applyAlignment="1" applyProtection="1">
      <alignment horizontal="center" vertical="center"/>
      <protection hidden="1"/>
    </xf>
    <xf numFmtId="0" fontId="114" fillId="9" borderId="18" xfId="0" applyFont="1" applyFill="1" applyBorder="1" applyAlignment="1" applyProtection="1">
      <alignment horizontal="right" vertical="center"/>
      <protection hidden="1"/>
    </xf>
    <xf numFmtId="0" fontId="114" fillId="9" borderId="85" xfId="0" applyFont="1" applyFill="1" applyBorder="1" applyAlignment="1" applyProtection="1">
      <alignment horizontal="left" vertical="center"/>
      <protection hidden="1"/>
    </xf>
    <xf numFmtId="0" fontId="0" fillId="8" borderId="4" xfId="0" applyFill="1" applyBorder="1" applyProtection="1">
      <protection hidden="1"/>
    </xf>
    <xf numFmtId="0" fontId="0" fillId="8" borderId="12" xfId="0" applyFill="1" applyBorder="1" applyProtection="1">
      <protection hidden="1"/>
    </xf>
    <xf numFmtId="0" fontId="0" fillId="8" borderId="7" xfId="0" applyFill="1" applyBorder="1" applyProtection="1">
      <protection hidden="1"/>
    </xf>
    <xf numFmtId="0" fontId="0" fillId="8" borderId="8" xfId="0" applyFill="1" applyBorder="1" applyProtection="1">
      <protection hidden="1"/>
    </xf>
    <xf numFmtId="0" fontId="0" fillId="8" borderId="9" xfId="0" applyFill="1" applyBorder="1" applyProtection="1">
      <protection hidden="1"/>
    </xf>
    <xf numFmtId="0" fontId="116" fillId="8" borderId="0" xfId="0" applyFont="1" applyFill="1" applyProtection="1">
      <protection hidden="1"/>
    </xf>
    <xf numFmtId="0" fontId="5" fillId="8" borderId="0" xfId="0" applyFont="1" applyFill="1" applyProtection="1">
      <protection hidden="1"/>
    </xf>
    <xf numFmtId="0" fontId="5" fillId="8" borderId="27" xfId="0" applyFont="1" applyFill="1" applyBorder="1" applyAlignment="1" applyProtection="1">
      <protection hidden="1"/>
    </xf>
    <xf numFmtId="0" fontId="5" fillId="8" borderId="27" xfId="0" applyFont="1" applyFill="1" applyBorder="1" applyAlignment="1" applyProtection="1">
      <alignment horizontal="center" vertical="center"/>
      <protection hidden="1"/>
    </xf>
    <xf numFmtId="0" fontId="112" fillId="0" borderId="0" xfId="3" applyFont="1" applyFill="1" applyBorder="1" applyProtection="1">
      <protection hidden="1"/>
    </xf>
    <xf numFmtId="0" fontId="116" fillId="8" borderId="11" xfId="0" applyFont="1" applyFill="1" applyBorder="1" applyProtection="1">
      <protection hidden="1"/>
    </xf>
    <xf numFmtId="0" fontId="116" fillId="8" borderId="11" xfId="0" applyFont="1" applyFill="1" applyBorder="1" applyAlignment="1" applyProtection="1">
      <alignment horizontal="left"/>
      <protection hidden="1"/>
    </xf>
    <xf numFmtId="0" fontId="2" fillId="8" borderId="0" xfId="0" applyFont="1" applyFill="1" applyProtection="1">
      <protection hidden="1"/>
    </xf>
    <xf numFmtId="0" fontId="5" fillId="8" borderId="0" xfId="0" applyFont="1" applyFill="1" applyAlignment="1" applyProtection="1">
      <alignment horizontal="right"/>
      <protection hidden="1"/>
    </xf>
    <xf numFmtId="0" fontId="120" fillId="8" borderId="0" xfId="0" applyFont="1" applyFill="1" applyAlignment="1" applyProtection="1">
      <alignment horizontal="right"/>
      <protection hidden="1"/>
    </xf>
    <xf numFmtId="0" fontId="5" fillId="8" borderId="46" xfId="3" applyFont="1" applyFill="1" applyBorder="1" applyAlignment="1" applyProtection="1">
      <alignment horizontal="right"/>
      <protection hidden="1"/>
    </xf>
    <xf numFmtId="0" fontId="0" fillId="8" borderId="0" xfId="0" applyFill="1" applyAlignment="1" applyProtection="1">
      <protection hidden="1"/>
    </xf>
    <xf numFmtId="0" fontId="114" fillId="8" borderId="0" xfId="0" applyFont="1" applyFill="1" applyProtection="1">
      <protection hidden="1"/>
    </xf>
    <xf numFmtId="0" fontId="113" fillId="8" borderId="1" xfId="0" applyFont="1" applyFill="1" applyBorder="1" applyAlignment="1" applyProtection="1">
      <alignment horizontal="center" vertical="center"/>
      <protection hidden="1"/>
    </xf>
    <xf numFmtId="0" fontId="114" fillId="9" borderId="0" xfId="0" applyFont="1" applyFill="1" applyBorder="1" applyAlignment="1" applyProtection="1">
      <alignment horizontal="right" vertical="center"/>
      <protection hidden="1"/>
    </xf>
    <xf numFmtId="0" fontId="114" fillId="9" borderId="2" xfId="0" applyFont="1" applyFill="1" applyBorder="1" applyAlignment="1" applyProtection="1">
      <alignment horizontal="left" vertical="center"/>
      <protection hidden="1"/>
    </xf>
    <xf numFmtId="0" fontId="121" fillId="8" borderId="0" xfId="0" applyFont="1" applyFill="1" applyAlignment="1" applyProtection="1">
      <alignment horizontal="right"/>
      <protection hidden="1"/>
    </xf>
    <xf numFmtId="0" fontId="117" fillId="8" borderId="0" xfId="0" applyFont="1" applyFill="1" applyBorder="1" applyAlignment="1" applyProtection="1">
      <alignment horizontal="center"/>
      <protection hidden="1"/>
    </xf>
    <xf numFmtId="0" fontId="5" fillId="8" borderId="0" xfId="3" applyFont="1" applyFill="1" applyAlignment="1" applyProtection="1">
      <alignment horizontal="right"/>
      <protection hidden="1"/>
    </xf>
    <xf numFmtId="0" fontId="116" fillId="8" borderId="0" xfId="0" applyFont="1" applyFill="1" applyAlignment="1" applyProtection="1">
      <alignment horizontal="left" vertical="center"/>
      <protection hidden="1"/>
    </xf>
    <xf numFmtId="0" fontId="2" fillId="0" borderId="0" xfId="0" applyFont="1" applyFill="1" applyProtection="1">
      <protection hidden="1"/>
    </xf>
    <xf numFmtId="0" fontId="5" fillId="5" borderId="0" xfId="0" applyFont="1" applyFill="1" applyBorder="1" applyAlignment="1" applyProtection="1">
      <alignment horizontal="left"/>
      <protection hidden="1"/>
    </xf>
    <xf numFmtId="0" fontId="5" fillId="5" borderId="0" xfId="0" applyFont="1" applyFill="1" applyBorder="1" applyAlignment="1" applyProtection="1">
      <alignment horizontal="centerContinuous"/>
      <protection hidden="1"/>
    </xf>
    <xf numFmtId="0" fontId="5" fillId="0" borderId="0" xfId="0" applyFont="1" applyFill="1" applyAlignment="1" applyProtection="1">
      <alignment horizontal="left"/>
      <protection hidden="1"/>
    </xf>
    <xf numFmtId="14" fontId="0" fillId="8" borderId="0" xfId="0" applyNumberFormat="1" applyFill="1" applyProtection="1">
      <protection hidden="1"/>
    </xf>
    <xf numFmtId="49" fontId="117" fillId="3" borderId="84" xfId="0" applyNumberFormat="1" applyFont="1" applyFill="1" applyBorder="1" applyAlignment="1" applyProtection="1">
      <alignment horizontal="center"/>
      <protection locked="0"/>
    </xf>
    <xf numFmtId="49" fontId="117" fillId="3" borderId="25" xfId="0" applyNumberFormat="1" applyFont="1" applyFill="1" applyBorder="1" applyAlignment="1" applyProtection="1">
      <alignment horizontal="center"/>
      <protection locked="0"/>
    </xf>
    <xf numFmtId="0" fontId="117" fillId="3" borderId="17" xfId="0" applyFont="1" applyFill="1" applyBorder="1" applyAlignment="1" applyProtection="1">
      <alignment horizontal="center"/>
      <protection locked="0"/>
    </xf>
    <xf numFmtId="49" fontId="117" fillId="3" borderId="78" xfId="0" applyNumberFormat="1" applyFont="1" applyFill="1" applyBorder="1" applyAlignment="1" applyProtection="1">
      <alignment horizontal="center"/>
      <protection locked="0"/>
    </xf>
    <xf numFmtId="49" fontId="117" fillId="3" borderId="28" xfId="0" applyNumberFormat="1" applyFont="1" applyFill="1" applyBorder="1" applyAlignment="1" applyProtection="1">
      <alignment horizontal="center"/>
      <protection locked="0"/>
    </xf>
    <xf numFmtId="0" fontId="117" fillId="3" borderId="18" xfId="0" applyFont="1" applyFill="1" applyBorder="1" applyAlignment="1" applyProtection="1">
      <alignment horizontal="center"/>
      <protection locked="0"/>
    </xf>
    <xf numFmtId="49" fontId="117" fillId="3" borderId="88" xfId="0" applyNumberFormat="1" applyFont="1" applyFill="1" applyBorder="1" applyAlignment="1" applyProtection="1">
      <alignment horizontal="center"/>
      <protection locked="0"/>
    </xf>
    <xf numFmtId="49" fontId="117" fillId="3" borderId="19" xfId="0" applyNumberFormat="1" applyFont="1" applyFill="1" applyBorder="1" applyAlignment="1" applyProtection="1">
      <alignment horizontal="center"/>
      <protection locked="0"/>
    </xf>
    <xf numFmtId="49" fontId="117" fillId="3" borderId="89" xfId="0" applyNumberFormat="1" applyFont="1" applyFill="1" applyBorder="1" applyAlignment="1" applyProtection="1">
      <alignment horizontal="center"/>
      <protection locked="0"/>
    </xf>
    <xf numFmtId="0" fontId="117" fillId="3" borderId="43" xfId="0" applyFont="1" applyFill="1" applyBorder="1" applyAlignment="1" applyProtection="1">
      <alignment horizontal="center"/>
      <protection locked="0"/>
    </xf>
    <xf numFmtId="0" fontId="5" fillId="8" borderId="0" xfId="0" applyFont="1" applyFill="1" applyBorder="1" applyAlignment="1" applyProtection="1">
      <alignment horizontal="left"/>
      <protection hidden="1"/>
    </xf>
    <xf numFmtId="0" fontId="5" fillId="8" borderId="0" xfId="0" applyFont="1" applyFill="1" applyBorder="1" applyAlignment="1" applyProtection="1">
      <alignment horizontal="centerContinuous"/>
      <protection hidden="1"/>
    </xf>
    <xf numFmtId="49" fontId="117" fillId="8" borderId="67" xfId="3" applyNumberFormat="1" applyFont="1" applyFill="1" applyBorder="1" applyAlignment="1" applyProtection="1">
      <alignment horizontal="right"/>
      <protection locked="0"/>
    </xf>
    <xf numFmtId="49" fontId="117" fillId="8" borderId="78" xfId="3" applyNumberFormat="1" applyFont="1" applyFill="1" applyBorder="1" applyAlignment="1" applyProtection="1">
      <alignment horizontal="left"/>
      <protection locked="0"/>
    </xf>
    <xf numFmtId="0" fontId="121" fillId="8" borderId="0" xfId="0" applyFont="1" applyFill="1" applyProtection="1">
      <protection hidden="1"/>
    </xf>
    <xf numFmtId="0" fontId="0" fillId="8" borderId="0" xfId="0" applyFill="1"/>
    <xf numFmtId="0" fontId="0" fillId="8" borderId="0" xfId="0" applyFill="1" applyAlignment="1">
      <alignment vertical="top"/>
    </xf>
    <xf numFmtId="0" fontId="124" fillId="8" borderId="0" xfId="0" applyFont="1" applyFill="1" applyAlignment="1">
      <alignment vertical="top"/>
    </xf>
    <xf numFmtId="0" fontId="124" fillId="8" borderId="0" xfId="0" applyFont="1" applyFill="1" applyAlignment="1">
      <alignment horizontal="right" vertical="top"/>
    </xf>
    <xf numFmtId="0" fontId="0" fillId="8" borderId="0" xfId="0" applyFill="1" applyAlignment="1">
      <alignment vertical="center"/>
    </xf>
    <xf numFmtId="0" fontId="123" fillId="8" borderId="0" xfId="5" applyFont="1" applyFill="1" applyBorder="1" applyAlignment="1">
      <alignment horizontal="center" vertical="top"/>
    </xf>
    <xf numFmtId="0" fontId="0" fillId="12" borderId="91" xfId="0" applyFill="1" applyBorder="1"/>
    <xf numFmtId="0" fontId="0" fillId="12" borderId="92" xfId="0" applyFill="1" applyBorder="1"/>
    <xf numFmtId="0" fontId="0" fillId="12" borderId="94" xfId="0" applyFill="1" applyBorder="1"/>
    <xf numFmtId="0" fontId="0" fillId="12" borderId="96" xfId="0" applyFill="1" applyBorder="1"/>
    <xf numFmtId="0" fontId="0" fillId="12" borderId="97" xfId="0" applyFill="1" applyBorder="1"/>
    <xf numFmtId="0" fontId="126" fillId="8" borderId="0" xfId="6" applyFont="1" applyFill="1" applyBorder="1" applyAlignment="1">
      <alignment horizontal="left" vertical="top"/>
    </xf>
    <xf numFmtId="0" fontId="126" fillId="8" borderId="0" xfId="6" applyFont="1" applyFill="1" applyAlignment="1">
      <alignment horizontal="left" vertical="top"/>
    </xf>
    <xf numFmtId="0" fontId="127" fillId="8" borderId="0" xfId="6" applyFont="1" applyFill="1" applyAlignment="1">
      <alignment horizontal="left" vertical="top"/>
    </xf>
    <xf numFmtId="0" fontId="126" fillId="8" borderId="0" xfId="6" applyFont="1" applyFill="1" applyAlignment="1">
      <alignment horizontal="left"/>
    </xf>
    <xf numFmtId="0" fontId="126" fillId="8" borderId="0" xfId="6" applyFont="1" applyFill="1" applyAlignment="1">
      <alignment horizontal="left" vertical="center"/>
    </xf>
    <xf numFmtId="0" fontId="127" fillId="8" borderId="0" xfId="6" applyFont="1" applyFill="1" applyAlignment="1">
      <alignment horizontal="left" vertical="center"/>
    </xf>
    <xf numFmtId="0" fontId="128" fillId="8" borderId="0" xfId="6" applyFont="1" applyFill="1" applyAlignment="1">
      <alignment horizontal="right"/>
    </xf>
    <xf numFmtId="0" fontId="0" fillId="8" borderId="93" xfId="0" applyFill="1" applyBorder="1" applyProtection="1">
      <protection hidden="1"/>
    </xf>
    <xf numFmtId="0" fontId="0" fillId="8" borderId="95" xfId="0" applyFill="1" applyBorder="1" applyProtection="1">
      <protection hidden="1"/>
    </xf>
    <xf numFmtId="0" fontId="0" fillId="8" borderId="98" xfId="0" applyFill="1" applyBorder="1" applyProtection="1">
      <protection hidden="1"/>
    </xf>
    <xf numFmtId="0" fontId="0" fillId="13" borderId="93" xfId="0" applyFill="1" applyBorder="1" applyProtection="1">
      <protection hidden="1"/>
    </xf>
    <xf numFmtId="0" fontId="0" fillId="13" borderId="95" xfId="0" applyFill="1" applyBorder="1" applyProtection="1">
      <protection hidden="1"/>
    </xf>
    <xf numFmtId="0" fontId="0" fillId="13" borderId="98" xfId="0" applyFill="1" applyBorder="1" applyProtection="1">
      <protection hidden="1"/>
    </xf>
    <xf numFmtId="0" fontId="0" fillId="8" borderId="107" xfId="0" applyFill="1" applyBorder="1" applyProtection="1">
      <protection hidden="1"/>
    </xf>
    <xf numFmtId="0" fontId="0" fillId="8" borderId="111" xfId="0" applyFill="1" applyBorder="1" applyProtection="1">
      <protection hidden="1"/>
    </xf>
    <xf numFmtId="0" fontId="0" fillId="8" borderId="114" xfId="0" applyFill="1" applyBorder="1" applyProtection="1">
      <protection hidden="1"/>
    </xf>
    <xf numFmtId="0" fontId="0" fillId="13" borderId="114" xfId="0" applyFill="1" applyBorder="1" applyProtection="1">
      <protection hidden="1"/>
    </xf>
    <xf numFmtId="0" fontId="129" fillId="12" borderId="0" xfId="0" applyFont="1" applyFill="1" applyBorder="1" applyAlignment="1">
      <alignment horizontal="left" vertical="top"/>
    </xf>
    <xf numFmtId="0" fontId="131" fillId="12" borderId="0" xfId="0" applyFont="1" applyFill="1" applyBorder="1"/>
    <xf numFmtId="0" fontId="122" fillId="8" borderId="78" xfId="0" applyFont="1" applyFill="1" applyBorder="1" applyAlignment="1">
      <alignment horizontal="center" vertical="center"/>
    </xf>
    <xf numFmtId="0" fontId="130" fillId="12" borderId="0" xfId="0" applyFont="1" applyFill="1" applyBorder="1"/>
    <xf numFmtId="0" fontId="130" fillId="12" borderId="0" xfId="0" applyFont="1" applyFill="1" applyBorder="1" applyAlignment="1">
      <alignment horizontal="right"/>
    </xf>
    <xf numFmtId="0" fontId="131" fillId="12" borderId="0" xfId="0" applyFont="1" applyFill="1" applyBorder="1" applyAlignment="1">
      <alignment horizontal="right"/>
    </xf>
    <xf numFmtId="0" fontId="131" fillId="8" borderId="99" xfId="0" applyFont="1" applyFill="1" applyBorder="1"/>
    <xf numFmtId="0" fontId="130" fillId="8" borderId="100" xfId="0" applyFont="1" applyFill="1" applyBorder="1" applyAlignment="1">
      <alignment vertical="top"/>
    </xf>
    <xf numFmtId="0" fontId="130" fillId="8" borderId="100" xfId="0" applyFont="1" applyFill="1" applyBorder="1"/>
    <xf numFmtId="0" fontId="130" fillId="8" borderId="102" xfId="0" applyFont="1" applyFill="1" applyBorder="1" applyAlignment="1">
      <alignment vertical="top"/>
    </xf>
    <xf numFmtId="0" fontId="131" fillId="8" borderId="95" xfId="0" applyFont="1" applyFill="1" applyBorder="1" applyProtection="1">
      <protection hidden="1"/>
    </xf>
    <xf numFmtId="0" fontId="131" fillId="8" borderId="103" xfId="0" applyFont="1" applyFill="1" applyBorder="1" applyAlignment="1">
      <alignment vertical="top"/>
    </xf>
    <xf numFmtId="0" fontId="130" fillId="8" borderId="104" xfId="0" applyFont="1" applyFill="1" applyBorder="1" applyAlignment="1">
      <alignment vertical="top"/>
    </xf>
    <xf numFmtId="0" fontId="130" fillId="8" borderId="106" xfId="0" applyFont="1" applyFill="1" applyBorder="1" applyAlignment="1">
      <alignment vertical="top"/>
    </xf>
    <xf numFmtId="0" fontId="131" fillId="8" borderId="107" xfId="0" applyFont="1" applyFill="1" applyBorder="1" applyProtection="1">
      <protection hidden="1"/>
    </xf>
    <xf numFmtId="0" fontId="131" fillId="8" borderId="103" xfId="0" applyFont="1" applyFill="1" applyBorder="1"/>
    <xf numFmtId="0" fontId="131" fillId="8" borderId="104" xfId="0" applyFont="1" applyFill="1" applyBorder="1"/>
    <xf numFmtId="0" fontId="130" fillId="8" borderId="103" xfId="0" applyFont="1" applyFill="1" applyBorder="1"/>
    <xf numFmtId="0" fontId="130" fillId="8" borderId="108" xfId="0" applyFont="1" applyFill="1" applyBorder="1" applyAlignment="1">
      <alignment vertical="top"/>
    </xf>
    <xf numFmtId="0" fontId="130" fillId="8" borderId="109" xfId="0" applyFont="1" applyFill="1" applyBorder="1" applyAlignment="1">
      <alignment vertical="top"/>
    </xf>
    <xf numFmtId="0" fontId="130" fillId="8" borderId="110" xfId="0" applyFont="1" applyFill="1" applyBorder="1" applyAlignment="1">
      <alignment vertical="top"/>
    </xf>
    <xf numFmtId="0" fontId="131" fillId="8" borderId="111" xfId="0" applyFont="1" applyFill="1" applyBorder="1" applyProtection="1">
      <protection hidden="1"/>
    </xf>
    <xf numFmtId="0" fontId="131" fillId="8" borderId="112" xfId="0" applyFont="1" applyFill="1" applyBorder="1"/>
    <xf numFmtId="0" fontId="129" fillId="8" borderId="113" xfId="0" applyFont="1" applyFill="1" applyBorder="1" applyAlignment="1">
      <alignment vertical="center"/>
    </xf>
    <xf numFmtId="0" fontId="131" fillId="8" borderId="113" xfId="0" applyFont="1" applyFill="1" applyBorder="1"/>
    <xf numFmtId="0" fontId="129" fillId="12" borderId="112" xfId="0" applyFont="1" applyFill="1" applyBorder="1"/>
    <xf numFmtId="0" fontId="129" fillId="12" borderId="113" xfId="0" applyFont="1" applyFill="1" applyBorder="1" applyAlignment="1">
      <alignment horizontal="left" vertical="top"/>
    </xf>
    <xf numFmtId="0" fontId="129" fillId="12" borderId="113" xfId="0" applyFont="1" applyFill="1" applyBorder="1"/>
    <xf numFmtId="0" fontId="131" fillId="8" borderId="91" xfId="0" applyFont="1" applyFill="1" applyBorder="1"/>
    <xf numFmtId="0" fontId="130" fillId="8" borderId="92" xfId="0" applyFont="1" applyFill="1" applyBorder="1" applyAlignment="1">
      <alignment vertical="top"/>
    </xf>
    <xf numFmtId="0" fontId="131" fillId="8" borderId="92" xfId="0" applyFont="1" applyFill="1" applyBorder="1"/>
    <xf numFmtId="0" fontId="131" fillId="8" borderId="96" xfId="0" applyFont="1" applyFill="1" applyBorder="1"/>
    <xf numFmtId="0" fontId="130" fillId="8" borderId="97" xfId="0" applyFont="1" applyFill="1" applyBorder="1" applyAlignment="1">
      <alignment vertical="top"/>
    </xf>
    <xf numFmtId="0" fontId="130" fillId="8" borderId="97" xfId="0" applyFont="1" applyFill="1" applyBorder="1"/>
    <xf numFmtId="0" fontId="131" fillId="8" borderId="99" xfId="0" applyFont="1" applyFill="1" applyBorder="1" applyAlignment="1">
      <alignment horizontal="left" vertical="top"/>
    </xf>
    <xf numFmtId="0" fontId="130" fillId="8" borderId="100" xfId="0" applyFont="1" applyFill="1" applyBorder="1" applyAlignment="1">
      <alignment horizontal="left" vertical="center"/>
    </xf>
    <xf numFmtId="0" fontId="130" fillId="8" borderId="101" xfId="0" applyFont="1" applyFill="1" applyBorder="1" applyAlignment="1">
      <alignment horizontal="left" vertical="center"/>
    </xf>
    <xf numFmtId="0" fontId="130" fillId="8" borderId="102" xfId="0" applyFont="1" applyFill="1" applyBorder="1" applyAlignment="1">
      <alignment horizontal="left" vertical="center"/>
    </xf>
    <xf numFmtId="0" fontId="130" fillId="8" borderId="100" xfId="0" applyFont="1" applyFill="1" applyBorder="1" applyAlignment="1">
      <alignment horizontal="right" vertical="center"/>
    </xf>
    <xf numFmtId="0" fontId="131" fillId="8" borderId="94" xfId="0" applyFont="1" applyFill="1" applyBorder="1"/>
    <xf numFmtId="0" fontId="131" fillId="8" borderId="0" xfId="0" applyFont="1" applyFill="1" applyBorder="1" applyAlignment="1">
      <alignment vertical="center"/>
    </xf>
    <xf numFmtId="0" fontId="131" fillId="8" borderId="0" xfId="0" applyFont="1" applyFill="1" applyBorder="1"/>
    <xf numFmtId="0" fontId="131" fillId="8" borderId="116" xfId="0" applyFont="1" applyFill="1" applyBorder="1"/>
    <xf numFmtId="0" fontId="131" fillId="8" borderId="104" xfId="0" applyFont="1" applyFill="1" applyBorder="1" applyAlignment="1">
      <alignment vertical="center"/>
    </xf>
    <xf numFmtId="0" fontId="131" fillId="8" borderId="105" xfId="0" applyFont="1" applyFill="1" applyBorder="1"/>
    <xf numFmtId="0" fontId="131" fillId="8" borderId="108" xfId="0" applyFont="1" applyFill="1" applyBorder="1"/>
    <xf numFmtId="0" fontId="130" fillId="8" borderId="109" xfId="0" applyFont="1" applyFill="1" applyBorder="1"/>
    <xf numFmtId="0" fontId="130" fillId="8" borderId="109" xfId="0" applyFont="1" applyFill="1" applyBorder="1" applyAlignment="1">
      <alignment horizontal="right"/>
    </xf>
    <xf numFmtId="0" fontId="129" fillId="12" borderId="112" xfId="0" applyFont="1" applyFill="1" applyBorder="1" applyAlignment="1">
      <alignment horizontal="left" vertical="top"/>
    </xf>
    <xf numFmtId="0" fontId="129" fillId="8" borderId="94" xfId="0" applyFont="1" applyFill="1" applyBorder="1" applyAlignment="1">
      <alignment horizontal="left" vertical="top"/>
    </xf>
    <xf numFmtId="0" fontId="130" fillId="8" borderId="0" xfId="0" applyFont="1" applyFill="1" applyBorder="1" applyAlignment="1">
      <alignment horizontal="left" vertical="top"/>
    </xf>
    <xf numFmtId="0" fontId="129" fillId="8" borderId="0" xfId="0" applyFont="1" applyFill="1" applyBorder="1" applyAlignment="1">
      <alignment horizontal="left" vertical="top"/>
    </xf>
    <xf numFmtId="0" fontId="129" fillId="8" borderId="0" xfId="0" applyFont="1" applyFill="1" applyBorder="1" applyAlignment="1">
      <alignment horizontal="right" vertical="top"/>
    </xf>
    <xf numFmtId="0" fontId="131" fillId="8" borderId="118" xfId="0" applyFont="1" applyFill="1" applyBorder="1"/>
    <xf numFmtId="0" fontId="131" fillId="8" borderId="119" xfId="0" applyFont="1" applyFill="1" applyBorder="1"/>
    <xf numFmtId="0" fontId="130" fillId="8" borderId="94" xfId="0" applyFont="1" applyFill="1" applyBorder="1" applyAlignment="1">
      <alignment horizontal="left" vertical="top"/>
    </xf>
    <xf numFmtId="0" fontId="130" fillId="8" borderId="0" xfId="0" applyFont="1" applyFill="1" applyBorder="1" applyAlignment="1">
      <alignment horizontal="left"/>
    </xf>
    <xf numFmtId="0" fontId="130" fillId="8" borderId="96" xfId="0" applyFont="1" applyFill="1" applyBorder="1" applyAlignment="1">
      <alignment horizontal="left" vertical="center"/>
    </xf>
    <xf numFmtId="0" fontId="130" fillId="8" borderId="97" xfId="0" applyFont="1" applyFill="1" applyBorder="1" applyAlignment="1">
      <alignment horizontal="left" vertical="center"/>
    </xf>
    <xf numFmtId="0" fontId="130" fillId="8" borderId="97" xfId="0" applyFont="1" applyFill="1" applyBorder="1" applyAlignment="1">
      <alignment horizontal="right" vertical="center"/>
    </xf>
    <xf numFmtId="0" fontId="130" fillId="8" borderId="121" xfId="0" applyFont="1" applyFill="1" applyBorder="1" applyAlignment="1">
      <alignment horizontal="left" vertical="center"/>
    </xf>
    <xf numFmtId="0" fontId="130" fillId="8" borderId="94" xfId="0" applyFont="1" applyFill="1" applyBorder="1"/>
    <xf numFmtId="0" fontId="129" fillId="8" borderId="0" xfId="0" applyFont="1" applyFill="1" applyBorder="1" applyAlignment="1">
      <alignment horizontal="left" vertical="center"/>
    </xf>
    <xf numFmtId="0" fontId="130" fillId="8" borderId="0" xfId="0" applyFont="1" applyFill="1" applyBorder="1"/>
    <xf numFmtId="0" fontId="130" fillId="8" borderId="0" xfId="0" applyFont="1" applyFill="1" applyBorder="1" applyAlignment="1">
      <alignment vertical="center"/>
    </xf>
    <xf numFmtId="0" fontId="129" fillId="8" borderId="0" xfId="0" applyFont="1" applyFill="1" applyBorder="1" applyAlignment="1">
      <alignment vertical="center"/>
    </xf>
    <xf numFmtId="0" fontId="130" fillId="8" borderId="0" xfId="0" applyFont="1" applyFill="1" applyBorder="1" applyAlignment="1">
      <alignment horizontal="left" vertical="center"/>
    </xf>
    <xf numFmtId="0" fontId="130" fillId="8" borderId="96" xfId="0" applyFont="1" applyFill="1" applyBorder="1"/>
    <xf numFmtId="0" fontId="130" fillId="8" borderId="91" xfId="0" applyFont="1" applyFill="1" applyBorder="1" applyAlignment="1">
      <alignment horizontal="left"/>
    </xf>
    <xf numFmtId="0" fontId="130" fillId="8" borderId="92" xfId="0" applyFont="1" applyFill="1" applyBorder="1"/>
    <xf numFmtId="0" fontId="129" fillId="8" borderId="92" xfId="0" applyFont="1" applyFill="1" applyBorder="1" applyAlignment="1">
      <alignment horizontal="center" vertical="center"/>
    </xf>
    <xf numFmtId="0" fontId="130" fillId="8" borderId="92" xfId="0" applyFont="1" applyFill="1" applyBorder="1" applyAlignment="1">
      <alignment horizontal="center"/>
    </xf>
    <xf numFmtId="0" fontId="129" fillId="8" borderId="0" xfId="0" applyFont="1" applyFill="1" applyBorder="1"/>
    <xf numFmtId="0" fontId="129" fillId="8" borderId="0" xfId="0" applyFont="1" applyFill="1" applyBorder="1" applyAlignment="1">
      <alignment horizontal="right"/>
    </xf>
    <xf numFmtId="0" fontId="131" fillId="8" borderId="97" xfId="0" applyFont="1" applyFill="1" applyBorder="1"/>
    <xf numFmtId="0" fontId="129" fillId="8" borderId="117" xfId="0" applyFont="1" applyFill="1" applyBorder="1" applyAlignment="1">
      <alignment horizontal="left" vertical="top"/>
    </xf>
    <xf numFmtId="0" fontId="129" fillId="8" borderId="116" xfId="0" applyFont="1" applyFill="1" applyBorder="1"/>
    <xf numFmtId="0" fontId="129" fillId="8" borderId="0" xfId="0" applyFont="1" applyFill="1" applyBorder="1" applyAlignment="1">
      <alignment horizontal="center" vertical="top"/>
    </xf>
    <xf numFmtId="0" fontId="129" fillId="8" borderId="97" xfId="0" applyFont="1" applyFill="1" applyBorder="1"/>
    <xf numFmtId="49" fontId="117" fillId="8" borderId="78" xfId="0" applyNumberFormat="1" applyFont="1" applyFill="1" applyBorder="1" applyAlignment="1" applyProtection="1">
      <alignment horizontal="center"/>
      <protection locked="0"/>
    </xf>
    <xf numFmtId="0" fontId="129" fillId="8" borderId="104" xfId="0" applyFont="1" applyFill="1" applyBorder="1" applyAlignment="1">
      <alignment vertical="center" wrapText="1"/>
    </xf>
    <xf numFmtId="0" fontId="0" fillId="8" borderId="115" xfId="0" applyFill="1" applyBorder="1" applyProtection="1">
      <protection hidden="1"/>
    </xf>
    <xf numFmtId="49" fontId="117" fillId="8" borderId="78" xfId="0" applyNumberFormat="1" applyFont="1" applyFill="1" applyBorder="1" applyAlignment="1" applyProtection="1">
      <protection locked="0"/>
    </xf>
    <xf numFmtId="49" fontId="117" fillId="8" borderId="78" xfId="0" applyNumberFormat="1" applyFont="1" applyFill="1" applyBorder="1" applyAlignment="1" applyProtection="1">
      <alignment horizontal="right"/>
      <protection locked="0"/>
    </xf>
    <xf numFmtId="0" fontId="130" fillId="8" borderId="0" xfId="0" applyFont="1" applyFill="1" applyBorder="1" applyAlignment="1">
      <alignment horizontal="right" vertical="center"/>
    </xf>
    <xf numFmtId="0" fontId="129" fillId="8" borderId="92" xfId="0" applyFont="1" applyFill="1" applyBorder="1" applyAlignment="1">
      <alignment horizontal="right" vertical="center"/>
    </xf>
    <xf numFmtId="0" fontId="0" fillId="8" borderId="122" xfId="0" applyFill="1" applyBorder="1" applyProtection="1">
      <protection hidden="1"/>
    </xf>
    <xf numFmtId="0" fontId="122" fillId="8" borderId="0" xfId="0" applyFont="1" applyFill="1" applyBorder="1" applyAlignment="1">
      <alignment horizontal="right"/>
    </xf>
    <xf numFmtId="0" fontId="130" fillId="8" borderId="94" xfId="0" applyFont="1" applyFill="1" applyBorder="1" applyAlignment="1">
      <alignment horizontal="left" vertical="center"/>
    </xf>
    <xf numFmtId="0" fontId="130" fillId="8" borderId="116" xfId="0" applyFont="1" applyFill="1" applyBorder="1" applyAlignment="1">
      <alignment horizontal="left" vertical="center"/>
    </xf>
    <xf numFmtId="0" fontId="130" fillId="8" borderId="123" xfId="0" applyFont="1" applyFill="1" applyBorder="1" applyAlignment="1">
      <alignment horizontal="left" vertical="top"/>
    </xf>
    <xf numFmtId="0" fontId="130" fillId="8" borderId="120" xfId="0" applyFont="1" applyFill="1" applyBorder="1" applyAlignment="1">
      <alignment horizontal="left" vertical="center"/>
    </xf>
    <xf numFmtId="0" fontId="130" fillId="8" borderId="116" xfId="0" applyFont="1" applyFill="1" applyBorder="1" applyAlignment="1">
      <alignment horizontal="left"/>
    </xf>
    <xf numFmtId="0" fontId="2" fillId="0" borderId="8" xfId="4" applyFont="1" applyFill="1" applyBorder="1" applyAlignment="1" applyProtection="1">
      <alignment horizontal="right" vertical="center"/>
      <protection hidden="1"/>
    </xf>
    <xf numFmtId="0" fontId="12" fillId="2" borderId="5" xfId="4" applyFont="1" applyFill="1" applyBorder="1" applyAlignment="1" applyProtection="1">
      <alignment horizontal="center" vertical="center" wrapText="1"/>
      <protection locked="0"/>
    </xf>
    <xf numFmtId="0" fontId="129" fillId="8" borderId="90" xfId="0" applyFont="1" applyFill="1" applyBorder="1" applyAlignment="1">
      <alignment horizontal="center"/>
    </xf>
    <xf numFmtId="0" fontId="129" fillId="8" borderId="90" xfId="0" applyFont="1" applyFill="1" applyBorder="1" applyAlignment="1">
      <alignment horizontal="center" vertical="center"/>
    </xf>
    <xf numFmtId="0" fontId="134" fillId="14" borderId="0" xfId="0" applyFont="1" applyFill="1" applyBorder="1" applyProtection="1">
      <protection hidden="1"/>
    </xf>
    <xf numFmtId="0" fontId="135" fillId="8" borderId="0" xfId="0" applyFont="1" applyFill="1" applyBorder="1" applyAlignment="1" applyProtection="1">
      <alignment horizontal="center" vertical="center"/>
      <protection hidden="1"/>
    </xf>
    <xf numFmtId="0" fontId="133" fillId="14" borderId="90" xfId="0" applyFont="1" applyFill="1" applyBorder="1" applyAlignment="1" applyProtection="1">
      <alignment horizontal="center" vertical="center"/>
      <protection hidden="1"/>
    </xf>
    <xf numFmtId="0" fontId="133" fillId="8" borderId="90" xfId="0" applyFont="1" applyFill="1" applyBorder="1" applyAlignment="1" applyProtection="1">
      <alignment horizontal="center" vertical="center"/>
      <protection hidden="1"/>
    </xf>
    <xf numFmtId="0" fontId="1" fillId="8" borderId="0" xfId="0" applyFont="1" applyFill="1" applyAlignment="1" applyProtection="1">
      <alignment horizontal="right"/>
      <protection hidden="1"/>
    </xf>
    <xf numFmtId="0" fontId="122" fillId="8" borderId="90" xfId="0" applyFont="1" applyFill="1" applyBorder="1" applyAlignment="1">
      <alignment horizontal="center" vertical="center"/>
    </xf>
    <xf numFmtId="0" fontId="136" fillId="8" borderId="0" xfId="0" applyFont="1" applyFill="1" applyBorder="1" applyAlignment="1">
      <alignment horizontal="left" vertical="top" wrapText="1"/>
    </xf>
    <xf numFmtId="0" fontId="130" fillId="12" borderId="112" xfId="0" applyFont="1" applyFill="1" applyBorder="1"/>
    <xf numFmtId="0" fontId="130" fillId="12" borderId="113" xfId="0" applyFont="1" applyFill="1" applyBorder="1"/>
    <xf numFmtId="0" fontId="139" fillId="13" borderId="114" xfId="0" applyFont="1" applyFill="1" applyBorder="1" applyProtection="1">
      <protection hidden="1"/>
    </xf>
    <xf numFmtId="0" fontId="139" fillId="8" borderId="91" xfId="0" applyFont="1" applyFill="1" applyBorder="1"/>
    <xf numFmtId="0" fontId="139" fillId="8" borderId="92" xfId="0" applyFont="1" applyFill="1" applyBorder="1"/>
    <xf numFmtId="0" fontId="139" fillId="8" borderId="95" xfId="0" applyFont="1" applyFill="1" applyBorder="1" applyProtection="1">
      <protection hidden="1"/>
    </xf>
    <xf numFmtId="0" fontId="139" fillId="8" borderId="94" xfId="0" applyFont="1" applyFill="1" applyBorder="1"/>
    <xf numFmtId="0" fontId="139" fillId="8" borderId="0" xfId="0" applyFont="1" applyFill="1" applyBorder="1"/>
    <xf numFmtId="0" fontId="130" fillId="8" borderId="0" xfId="0" applyFont="1" applyFill="1" applyBorder="1" applyAlignment="1">
      <alignment vertical="top"/>
    </xf>
    <xf numFmtId="0" fontId="139" fillId="8" borderId="97" xfId="0" applyFont="1" applyFill="1" applyBorder="1"/>
    <xf numFmtId="0" fontId="139" fillId="8" borderId="126" xfId="0" applyFont="1" applyFill="1" applyBorder="1" applyProtection="1">
      <protection hidden="1"/>
    </xf>
    <xf numFmtId="0" fontId="130" fillId="8" borderId="127" xfId="0" applyFont="1" applyFill="1" applyBorder="1" applyAlignment="1">
      <alignment horizontal="left" wrapText="1"/>
    </xf>
    <xf numFmtId="0" fontId="130" fillId="8" borderId="123" xfId="0" applyFont="1" applyFill="1" applyBorder="1" applyAlignment="1">
      <alignment horizontal="left" wrapText="1"/>
    </xf>
    <xf numFmtId="0" fontId="130" fillId="8" borderId="0" xfId="0" applyFont="1" applyFill="1" applyBorder="1" applyAlignment="1">
      <alignment horizontal="right" vertical="top"/>
    </xf>
    <xf numFmtId="0" fontId="130" fillId="8" borderId="117" xfId="0" applyFont="1" applyFill="1" applyBorder="1" applyAlignment="1">
      <alignment vertical="top"/>
    </xf>
    <xf numFmtId="0" fontId="139" fillId="8" borderId="99" xfId="0" applyFont="1" applyFill="1" applyBorder="1"/>
    <xf numFmtId="0" fontId="129" fillId="8" borderId="100" xfId="0" applyFont="1" applyFill="1" applyBorder="1" applyAlignment="1">
      <alignment horizontal="left" vertical="center"/>
    </xf>
    <xf numFmtId="0" fontId="130" fillId="8" borderId="100" xfId="0" applyFont="1" applyFill="1" applyBorder="1" applyAlignment="1">
      <alignment horizontal="left" vertical="top"/>
    </xf>
    <xf numFmtId="0" fontId="130" fillId="8" borderId="104" xfId="0" applyFont="1" applyFill="1" applyBorder="1" applyAlignment="1">
      <alignment horizontal="left" vertical="center"/>
    </xf>
    <xf numFmtId="0" fontId="130" fillId="8" borderId="106" xfId="0" applyFont="1" applyFill="1" applyBorder="1" applyAlignment="1">
      <alignment horizontal="left" vertical="center"/>
    </xf>
    <xf numFmtId="0" fontId="139" fillId="8" borderId="107" xfId="0" applyFont="1" applyFill="1" applyBorder="1" applyProtection="1">
      <protection hidden="1"/>
    </xf>
    <xf numFmtId="0" fontId="139" fillId="8" borderId="103" xfId="0" applyFont="1" applyFill="1" applyBorder="1"/>
    <xf numFmtId="0" fontId="130" fillId="8" borderId="104" xfId="0" applyFont="1" applyFill="1" applyBorder="1" applyAlignment="1">
      <alignment horizontal="left" vertical="top"/>
    </xf>
    <xf numFmtId="0" fontId="130" fillId="8" borderId="106" xfId="0" applyFont="1" applyFill="1" applyBorder="1" applyAlignment="1">
      <alignment horizontal="left" vertical="top"/>
    </xf>
    <xf numFmtId="0" fontId="129" fillId="8" borderId="0" xfId="0" applyFont="1" applyFill="1" applyBorder="1" applyAlignment="1">
      <alignment horizontal="right" vertical="center"/>
    </xf>
    <xf numFmtId="0" fontId="130" fillId="8" borderId="105" xfId="0" applyFont="1" applyFill="1" applyBorder="1" applyAlignment="1">
      <alignment horizontal="left" vertical="center"/>
    </xf>
    <xf numFmtId="0" fontId="139" fillId="8" borderId="98" xfId="0" applyFont="1" applyFill="1" applyBorder="1" applyProtection="1">
      <protection hidden="1"/>
    </xf>
    <xf numFmtId="49" fontId="138" fillId="8" borderId="0" xfId="0" applyNumberFormat="1" applyFont="1" applyFill="1" applyBorder="1" applyAlignment="1">
      <alignment horizontal="right"/>
    </xf>
    <xf numFmtId="0" fontId="130" fillId="8" borderId="118" xfId="0" applyFont="1" applyFill="1" applyBorder="1" applyAlignment="1">
      <alignment wrapText="1"/>
    </xf>
    <xf numFmtId="0" fontId="131" fillId="8" borderId="97" xfId="0" applyFont="1" applyFill="1" applyBorder="1" applyAlignment="1">
      <alignment horizontal="left"/>
    </xf>
    <xf numFmtId="0" fontId="117" fillId="8" borderId="0" xfId="0" applyFont="1" applyFill="1" applyBorder="1" applyAlignment="1" applyProtection="1">
      <alignment horizontal="center" vertical="center"/>
      <protection hidden="1"/>
    </xf>
    <xf numFmtId="0" fontId="68" fillId="8" borderId="0" xfId="1" applyFill="1" applyBorder="1" applyAlignment="1" applyProtection="1">
      <alignment horizontal="left" vertical="center"/>
      <protection hidden="1"/>
    </xf>
    <xf numFmtId="0" fontId="116" fillId="8" borderId="0" xfId="1" applyFont="1" applyFill="1" applyBorder="1" applyAlignment="1" applyProtection="1">
      <alignment horizontal="left" vertical="center"/>
      <protection hidden="1"/>
    </xf>
    <xf numFmtId="0" fontId="139" fillId="8" borderId="127" xfId="0" applyFont="1" applyFill="1" applyBorder="1"/>
    <xf numFmtId="0" fontId="130" fillId="8" borderId="123" xfId="0" applyFont="1" applyFill="1" applyBorder="1" applyAlignment="1">
      <alignment horizontal="left" vertical="center"/>
    </xf>
    <xf numFmtId="0" fontId="139" fillId="8" borderId="111" xfId="0" applyFont="1" applyFill="1" applyBorder="1" applyProtection="1">
      <protection hidden="1"/>
    </xf>
    <xf numFmtId="0" fontId="139" fillId="8" borderId="113" xfId="0" applyFont="1" applyFill="1" applyBorder="1" applyProtection="1">
      <protection hidden="1"/>
    </xf>
    <xf numFmtId="0" fontId="139" fillId="13" borderId="95" xfId="0" applyFont="1" applyFill="1" applyBorder="1" applyProtection="1">
      <protection hidden="1"/>
    </xf>
    <xf numFmtId="0" fontId="139" fillId="13" borderId="93" xfId="0" applyFont="1" applyFill="1" applyBorder="1" applyProtection="1">
      <protection hidden="1"/>
    </xf>
    <xf numFmtId="0" fontId="139" fillId="13" borderId="98" xfId="0" applyFont="1" applyFill="1" applyBorder="1" applyProtection="1">
      <protection hidden="1"/>
    </xf>
    <xf numFmtId="0" fontId="140" fillId="8" borderId="0" xfId="0" applyFont="1" applyFill="1" applyProtection="1">
      <protection hidden="1"/>
    </xf>
    <xf numFmtId="0" fontId="139" fillId="8" borderId="122" xfId="0" applyFont="1" applyFill="1" applyBorder="1" applyProtection="1">
      <protection hidden="1"/>
    </xf>
    <xf numFmtId="0" fontId="139" fillId="8" borderId="108" xfId="0" applyFont="1" applyFill="1" applyBorder="1" applyProtection="1">
      <protection hidden="1"/>
    </xf>
    <xf numFmtId="0" fontId="130" fillId="8" borderId="113" xfId="0" applyFont="1" applyFill="1" applyBorder="1" applyAlignment="1" applyProtection="1">
      <alignment horizontal="left" vertical="justify" wrapText="1"/>
      <protection hidden="1"/>
    </xf>
    <xf numFmtId="0" fontId="139" fillId="13" borderId="91" xfId="0" applyFont="1" applyFill="1" applyBorder="1" applyProtection="1">
      <protection hidden="1"/>
    </xf>
    <xf numFmtId="0" fontId="130" fillId="13" borderId="92" xfId="0" applyFont="1" applyFill="1" applyBorder="1" applyAlignment="1" applyProtection="1">
      <alignment horizontal="left" vertical="justify" wrapText="1"/>
      <protection hidden="1"/>
    </xf>
    <xf numFmtId="0" fontId="130" fillId="12" borderId="94" xfId="0" applyFont="1" applyFill="1" applyBorder="1" applyProtection="1">
      <protection hidden="1"/>
    </xf>
    <xf numFmtId="0" fontId="129" fillId="12" borderId="0" xfId="0" applyFont="1" applyFill="1" applyBorder="1" applyAlignment="1" applyProtection="1">
      <alignment horizontal="left" vertical="top"/>
      <protection hidden="1"/>
    </xf>
    <xf numFmtId="0" fontId="130" fillId="12" borderId="0" xfId="0" applyFont="1" applyFill="1" applyBorder="1" applyProtection="1">
      <protection hidden="1"/>
    </xf>
    <xf numFmtId="0" fontId="130" fillId="12" borderId="96" xfId="0" applyFont="1" applyFill="1" applyBorder="1" applyProtection="1">
      <protection hidden="1"/>
    </xf>
    <xf numFmtId="0" fontId="129" fillId="12" borderId="97" xfId="0" applyFont="1" applyFill="1" applyBorder="1" applyAlignment="1" applyProtection="1">
      <alignment horizontal="left" vertical="top"/>
      <protection hidden="1"/>
    </xf>
    <xf numFmtId="0" fontId="130" fillId="12" borderId="97" xfId="0" applyFont="1" applyFill="1" applyBorder="1" applyProtection="1">
      <protection hidden="1"/>
    </xf>
    <xf numFmtId="0" fontId="129" fillId="8" borderId="0" xfId="0" applyFont="1" applyFill="1" applyBorder="1" applyAlignment="1" applyProtection="1">
      <alignment horizontal="left" vertical="center"/>
      <protection hidden="1"/>
    </xf>
    <xf numFmtId="0" fontId="129" fillId="8" borderId="0" xfId="0" applyFont="1" applyFill="1" applyBorder="1" applyProtection="1">
      <protection hidden="1"/>
    </xf>
    <xf numFmtId="0" fontId="130" fillId="8" borderId="0" xfId="0" applyFont="1" applyFill="1" applyBorder="1" applyProtection="1">
      <protection hidden="1"/>
    </xf>
    <xf numFmtId="0" fontId="130" fillId="8" borderId="0" xfId="0" applyFont="1" applyFill="1" applyBorder="1" applyAlignment="1" applyProtection="1">
      <alignment horizontal="left" vertical="center"/>
      <protection hidden="1"/>
    </xf>
    <xf numFmtId="0" fontId="129" fillId="8" borderId="0" xfId="0" applyFont="1" applyFill="1" applyBorder="1" applyAlignment="1" applyProtection="1">
      <alignment horizontal="right" vertical="center"/>
      <protection hidden="1"/>
    </xf>
    <xf numFmtId="0" fontId="130" fillId="8" borderId="94" xfId="0" applyFont="1" applyFill="1" applyBorder="1" applyProtection="1">
      <protection hidden="1"/>
    </xf>
    <xf numFmtId="0" fontId="130" fillId="8" borderId="0" xfId="0" applyFont="1" applyFill="1" applyBorder="1" applyAlignment="1" applyProtection="1">
      <alignment vertical="top"/>
      <protection hidden="1"/>
    </xf>
    <xf numFmtId="0" fontId="130" fillId="8" borderId="127" xfId="0" applyFont="1" applyFill="1" applyBorder="1" applyProtection="1">
      <protection hidden="1"/>
    </xf>
    <xf numFmtId="0" fontId="129" fillId="8" borderId="123" xfId="0" applyFont="1" applyFill="1" applyBorder="1" applyAlignment="1" applyProtection="1">
      <alignment horizontal="left" vertical="center"/>
      <protection hidden="1"/>
    </xf>
    <xf numFmtId="0" fontId="130" fillId="8" borderId="123" xfId="0" applyFont="1" applyFill="1" applyBorder="1" applyProtection="1">
      <protection hidden="1"/>
    </xf>
    <xf numFmtId="0" fontId="130" fillId="8" borderId="123" xfId="0" applyFont="1" applyFill="1" applyBorder="1" applyAlignment="1" applyProtection="1">
      <alignment horizontal="left" vertical="center"/>
      <protection hidden="1"/>
    </xf>
    <xf numFmtId="0" fontId="130" fillId="8" borderId="128" xfId="0" applyFont="1" applyFill="1" applyBorder="1" applyProtection="1">
      <protection hidden="1"/>
    </xf>
    <xf numFmtId="0" fontId="130" fillId="8" borderId="120" xfId="0" applyFont="1" applyFill="1" applyBorder="1" applyProtection="1">
      <protection hidden="1"/>
    </xf>
    <xf numFmtId="0" fontId="129" fillId="8" borderId="0" xfId="0" applyFont="1" applyFill="1" applyBorder="1" applyAlignment="1" applyProtection="1">
      <alignment horizontal="left"/>
      <protection hidden="1"/>
    </xf>
    <xf numFmtId="0" fontId="129" fillId="8" borderId="0" xfId="0" applyFont="1" applyFill="1" applyBorder="1" applyAlignment="1" applyProtection="1">
      <alignment horizontal="left" vertical="top"/>
      <protection hidden="1"/>
    </xf>
    <xf numFmtId="0" fontId="130" fillId="8" borderId="117" xfId="0" applyFont="1" applyFill="1" applyBorder="1" applyProtection="1">
      <protection hidden="1"/>
    </xf>
    <xf numFmtId="0" fontId="130" fillId="8" borderId="116" xfId="0" applyFont="1" applyFill="1" applyBorder="1" applyProtection="1">
      <protection hidden="1"/>
    </xf>
    <xf numFmtId="0" fontId="130" fillId="8" borderId="119" xfId="0" applyFont="1" applyFill="1" applyBorder="1" applyProtection="1">
      <protection hidden="1"/>
    </xf>
    <xf numFmtId="0" fontId="130" fillId="8" borderId="130" xfId="0" applyFont="1" applyFill="1" applyBorder="1" applyProtection="1">
      <protection hidden="1"/>
    </xf>
    <xf numFmtId="0" fontId="130" fillId="8" borderId="94" xfId="0" applyFont="1" applyFill="1" applyBorder="1" applyAlignment="1" applyProtection="1">
      <alignment horizontal="left" vertical="center"/>
      <protection hidden="1"/>
    </xf>
    <xf numFmtId="0" fontId="130" fillId="8" borderId="116" xfId="0" applyFont="1" applyFill="1" applyBorder="1" applyAlignment="1" applyProtection="1">
      <alignment horizontal="left" vertical="center"/>
      <protection hidden="1"/>
    </xf>
    <xf numFmtId="0" fontId="130" fillId="8" borderId="104" xfId="0" applyFont="1" applyFill="1" applyBorder="1" applyAlignment="1" applyProtection="1">
      <alignment horizontal="left" vertical="center"/>
      <protection hidden="1"/>
    </xf>
    <xf numFmtId="0" fontId="130" fillId="8" borderId="105" xfId="0" applyFont="1" applyFill="1" applyBorder="1" applyAlignment="1" applyProtection="1">
      <alignment horizontal="left" vertical="center"/>
      <protection hidden="1"/>
    </xf>
    <xf numFmtId="0" fontId="130" fillId="8" borderId="106" xfId="0" applyFont="1" applyFill="1" applyBorder="1" applyAlignment="1" applyProtection="1">
      <alignment horizontal="left" vertical="center"/>
      <protection hidden="1"/>
    </xf>
    <xf numFmtId="0" fontId="130" fillId="8" borderId="128" xfId="0" applyFont="1" applyFill="1" applyBorder="1" applyAlignment="1" applyProtection="1">
      <alignment vertical="top"/>
      <protection hidden="1"/>
    </xf>
    <xf numFmtId="0" fontId="130" fillId="8" borderId="123" xfId="0" applyFont="1" applyFill="1" applyBorder="1" applyAlignment="1" applyProtection="1">
      <alignment vertical="top"/>
      <protection hidden="1"/>
    </xf>
    <xf numFmtId="0" fontId="129" fillId="8" borderId="94" xfId="0" applyFont="1" applyFill="1" applyBorder="1" applyAlignment="1" applyProtection="1">
      <alignment horizontal="left" vertical="center"/>
      <protection hidden="1"/>
    </xf>
    <xf numFmtId="0" fontId="129" fillId="8" borderId="0" xfId="0" applyFont="1" applyFill="1" applyBorder="1" applyAlignment="1" applyProtection="1">
      <protection hidden="1"/>
    </xf>
    <xf numFmtId="0" fontId="130" fillId="8" borderId="0" xfId="0" applyFont="1" applyFill="1" applyBorder="1" applyAlignment="1" applyProtection="1">
      <alignment horizontal="left"/>
      <protection hidden="1"/>
    </xf>
    <xf numFmtId="0" fontId="130" fillId="8" borderId="0" xfId="0" applyFont="1" applyFill="1" applyBorder="1" applyAlignment="1" applyProtection="1">
      <protection hidden="1"/>
    </xf>
    <xf numFmtId="0" fontId="130" fillId="8" borderId="129" xfId="0" applyFont="1" applyFill="1" applyBorder="1" applyProtection="1">
      <protection hidden="1"/>
    </xf>
    <xf numFmtId="0" fontId="130" fillId="8" borderId="96" xfId="0" applyFont="1" applyFill="1" applyBorder="1" applyProtection="1">
      <protection hidden="1"/>
    </xf>
    <xf numFmtId="0" fontId="130" fillId="8" borderId="97" xfId="0" applyFont="1" applyFill="1" applyBorder="1" applyProtection="1">
      <protection hidden="1"/>
    </xf>
    <xf numFmtId="0" fontId="130" fillId="8" borderId="0" xfId="0" applyFont="1" applyFill="1" applyBorder="1" applyAlignment="1" applyProtection="1">
      <alignment horizontal="left" vertical="top"/>
      <protection hidden="1"/>
    </xf>
    <xf numFmtId="0" fontId="129" fillId="8" borderId="118" xfId="0" applyFont="1" applyFill="1" applyBorder="1" applyAlignment="1" applyProtection="1">
      <alignment horizontal="left" vertical="center"/>
      <protection hidden="1"/>
    </xf>
    <xf numFmtId="0" fontId="129" fillId="8" borderId="119" xfId="0" applyFont="1" applyFill="1" applyBorder="1" applyAlignment="1" applyProtection="1">
      <alignment horizontal="left" vertical="center"/>
      <protection hidden="1"/>
    </xf>
    <xf numFmtId="0" fontId="130" fillId="8" borderId="119" xfId="0" applyFont="1" applyFill="1" applyBorder="1" applyAlignment="1" applyProtection="1">
      <alignment horizontal="left" vertical="top"/>
      <protection hidden="1"/>
    </xf>
    <xf numFmtId="0" fontId="129" fillId="8" borderId="119" xfId="0" applyFont="1" applyFill="1" applyBorder="1" applyAlignment="1" applyProtection="1">
      <protection hidden="1"/>
    </xf>
    <xf numFmtId="0" fontId="130" fillId="8" borderId="119" xfId="0" applyFont="1" applyFill="1" applyBorder="1" applyAlignment="1" applyProtection="1">
      <alignment horizontal="left"/>
      <protection hidden="1"/>
    </xf>
    <xf numFmtId="0" fontId="130" fillId="8" borderId="119" xfId="0" applyFont="1" applyFill="1" applyBorder="1" applyAlignment="1" applyProtection="1">
      <protection hidden="1"/>
    </xf>
    <xf numFmtId="0" fontId="130" fillId="8" borderId="118" xfId="0" applyFont="1" applyFill="1" applyBorder="1" applyProtection="1">
      <protection hidden="1"/>
    </xf>
    <xf numFmtId="0" fontId="129" fillId="8" borderId="119" xfId="0" applyFont="1" applyFill="1" applyBorder="1" applyAlignment="1" applyProtection="1">
      <alignment horizontal="left"/>
      <protection hidden="1"/>
    </xf>
    <xf numFmtId="0" fontId="130" fillId="8" borderId="0" xfId="0" applyFont="1" applyFill="1" applyBorder="1" applyAlignment="1" applyProtection="1">
      <alignment vertical="center"/>
      <protection hidden="1"/>
    </xf>
    <xf numFmtId="0" fontId="139" fillId="8" borderId="0" xfId="0" applyFont="1" applyFill="1" applyBorder="1" applyProtection="1">
      <protection hidden="1"/>
    </xf>
    <xf numFmtId="0" fontId="0" fillId="8" borderId="0" xfId="0" applyFill="1" applyAlignment="1" applyProtection="1">
      <alignment vertical="center"/>
      <protection hidden="1"/>
    </xf>
    <xf numFmtId="0" fontId="140" fillId="8" borderId="0" xfId="0" applyFont="1" applyFill="1" applyAlignment="1" applyProtection="1">
      <alignment vertical="center"/>
      <protection hidden="1"/>
    </xf>
    <xf numFmtId="0" fontId="130" fillId="8" borderId="103" xfId="0" applyFont="1" applyFill="1" applyBorder="1" applyAlignment="1">
      <alignment horizontal="left" vertical="top"/>
    </xf>
    <xf numFmtId="0" fontId="139" fillId="8" borderId="107" xfId="0" applyFont="1" applyFill="1" applyBorder="1" applyAlignment="1" applyProtection="1">
      <alignment vertical="top"/>
      <protection hidden="1"/>
    </xf>
    <xf numFmtId="0" fontId="0" fillId="8" borderId="0" xfId="0" applyFill="1" applyAlignment="1" applyProtection="1">
      <alignment vertical="top"/>
      <protection hidden="1"/>
    </xf>
    <xf numFmtId="0" fontId="140" fillId="8" borderId="0" xfId="0" applyFont="1" applyFill="1" applyAlignment="1" applyProtection="1">
      <alignment vertical="top"/>
      <protection hidden="1"/>
    </xf>
    <xf numFmtId="0" fontId="130" fillId="8" borderId="94" xfId="0" applyFont="1" applyFill="1" applyBorder="1" applyAlignment="1">
      <alignment vertical="center"/>
    </xf>
    <xf numFmtId="0" fontId="139" fillId="8" borderId="95" xfId="0" applyFont="1" applyFill="1" applyBorder="1" applyAlignment="1" applyProtection="1">
      <alignment vertical="center"/>
      <protection hidden="1"/>
    </xf>
    <xf numFmtId="0" fontId="143" fillId="8" borderId="0" xfId="0" applyFont="1" applyFill="1" applyProtection="1">
      <protection hidden="1"/>
    </xf>
    <xf numFmtId="0" fontId="143" fillId="8" borderId="0" xfId="0" applyFont="1" applyFill="1" applyAlignment="1" applyProtection="1">
      <alignment horizontal="left"/>
      <protection hidden="1"/>
    </xf>
    <xf numFmtId="0" fontId="133" fillId="8" borderId="0" xfId="0" applyFont="1" applyFill="1" applyBorder="1" applyProtection="1">
      <protection hidden="1"/>
    </xf>
    <xf numFmtId="0" fontId="143" fillId="8" borderId="0" xfId="0" applyFont="1" applyFill="1" applyAlignment="1" applyProtection="1">
      <alignment horizontal="left" vertical="center"/>
      <protection hidden="1"/>
    </xf>
    <xf numFmtId="0" fontId="131" fillId="8" borderId="98" xfId="0" applyFont="1" applyFill="1" applyBorder="1" applyProtection="1">
      <protection hidden="1"/>
    </xf>
    <xf numFmtId="0" fontId="144" fillId="8" borderId="0" xfId="0" applyFont="1" applyFill="1" applyAlignment="1" applyProtection="1">
      <alignment horizontal="center" vertical="center"/>
      <protection hidden="1"/>
    </xf>
    <xf numFmtId="0" fontId="145" fillId="8" borderId="0" xfId="0" applyFont="1" applyFill="1" applyProtection="1">
      <protection hidden="1"/>
    </xf>
    <xf numFmtId="0" fontId="143" fillId="8" borderId="0" xfId="0" applyFont="1" applyFill="1"/>
    <xf numFmtId="0" fontId="131" fillId="8" borderId="0" xfId="0" applyFont="1" applyFill="1" applyBorder="1" applyProtection="1">
      <protection hidden="1"/>
    </xf>
    <xf numFmtId="0" fontId="131" fillId="8" borderId="91" xfId="0" applyFont="1" applyFill="1" applyBorder="1" applyProtection="1">
      <protection hidden="1"/>
    </xf>
    <xf numFmtId="0" fontId="131" fillId="8" borderId="92" xfId="0" applyFont="1" applyFill="1" applyBorder="1" applyAlignment="1" applyProtection="1">
      <alignment horizontal="left" vertical="top"/>
      <protection hidden="1"/>
    </xf>
    <xf numFmtId="0" fontId="131" fillId="8" borderId="92" xfId="0" applyFont="1" applyFill="1" applyBorder="1" applyProtection="1">
      <protection hidden="1"/>
    </xf>
    <xf numFmtId="0" fontId="131" fillId="8" borderId="93" xfId="0" applyFont="1" applyFill="1" applyBorder="1" applyProtection="1">
      <protection hidden="1"/>
    </xf>
    <xf numFmtId="0" fontId="137" fillId="8" borderId="91" xfId="0" applyFont="1" applyFill="1" applyBorder="1" applyProtection="1">
      <protection hidden="1"/>
    </xf>
    <xf numFmtId="0" fontId="129" fillId="8" borderId="92" xfId="0" applyFont="1" applyFill="1" applyBorder="1" applyProtection="1">
      <protection hidden="1"/>
    </xf>
    <xf numFmtId="0" fontId="136" fillId="8" borderId="92" xfId="0" applyFont="1" applyFill="1" applyBorder="1" applyProtection="1">
      <protection hidden="1"/>
    </xf>
    <xf numFmtId="0" fontId="0" fillId="8" borderId="92" xfId="0" applyFill="1" applyBorder="1" applyProtection="1">
      <protection hidden="1"/>
    </xf>
    <xf numFmtId="49" fontId="129" fillId="8" borderId="91" xfId="0" applyNumberFormat="1" applyFont="1" applyFill="1" applyBorder="1" applyAlignment="1" applyProtection="1">
      <alignment horizontal="left" vertical="top"/>
      <protection hidden="1"/>
    </xf>
    <xf numFmtId="49" fontId="129" fillId="8" borderId="92" xfId="0" applyNumberFormat="1" applyFont="1" applyFill="1" applyBorder="1" applyAlignment="1" applyProtection="1">
      <alignment horizontal="left" vertical="top"/>
      <protection hidden="1"/>
    </xf>
    <xf numFmtId="0" fontId="130" fillId="8" borderId="92" xfId="0" applyFont="1" applyFill="1" applyBorder="1" applyProtection="1">
      <protection hidden="1"/>
    </xf>
    <xf numFmtId="49" fontId="137" fillId="8" borderId="91" xfId="0" applyNumberFormat="1" applyFont="1" applyFill="1" applyBorder="1" applyProtection="1">
      <protection hidden="1"/>
    </xf>
    <xf numFmtId="49" fontId="129" fillId="8" borderId="92" xfId="0" applyNumberFormat="1" applyFont="1" applyFill="1" applyBorder="1" applyProtection="1">
      <protection hidden="1"/>
    </xf>
    <xf numFmtId="0" fontId="133" fillId="8" borderId="116" xfId="0" applyFont="1" applyFill="1" applyBorder="1" applyAlignment="1" applyProtection="1">
      <alignment vertical="center"/>
      <protection locked="0"/>
    </xf>
    <xf numFmtId="0" fontId="0" fillId="8" borderId="0" xfId="0" applyFill="1" applyBorder="1" applyProtection="1">
      <protection hidden="1"/>
    </xf>
    <xf numFmtId="0" fontId="131" fillId="8" borderId="0" xfId="0" applyFont="1" applyFill="1" applyProtection="1">
      <protection hidden="1"/>
    </xf>
    <xf numFmtId="0" fontId="130" fillId="8" borderId="94" xfId="0" applyFont="1" applyFill="1" applyBorder="1" applyAlignment="1" applyProtection="1">
      <alignment horizontal="right"/>
      <protection hidden="1"/>
    </xf>
    <xf numFmtId="0" fontId="130" fillId="8" borderId="0" xfId="0" quotePrefix="1" applyFont="1" applyFill="1" applyBorder="1" applyAlignment="1" applyProtection="1">
      <alignment horizontal="right" vertical="top"/>
      <protection hidden="1"/>
    </xf>
    <xf numFmtId="0" fontId="130" fillId="8" borderId="0" xfId="0" quotePrefix="1" applyFont="1" applyFill="1" applyBorder="1" applyAlignment="1" applyProtection="1">
      <alignment horizontal="right"/>
      <protection hidden="1"/>
    </xf>
    <xf numFmtId="0" fontId="130" fillId="8" borderId="0" xfId="0" applyFont="1" applyFill="1" applyBorder="1" applyAlignment="1" applyProtection="1">
      <alignment horizontal="right" vertical="top"/>
      <protection hidden="1"/>
    </xf>
    <xf numFmtId="0" fontId="136" fillId="8" borderId="0" xfId="0" applyFont="1" applyFill="1" applyBorder="1" applyAlignment="1" applyProtection="1">
      <alignment horizontal="justify" vertical="top"/>
      <protection hidden="1"/>
    </xf>
    <xf numFmtId="0" fontId="129" fillId="8" borderId="0" xfId="0" applyFont="1" applyFill="1" applyBorder="1" applyAlignment="1">
      <alignment horizontal="left" vertical="center"/>
    </xf>
    <xf numFmtId="0" fontId="130" fillId="8" borderId="0" xfId="0" applyFont="1" applyFill="1" applyBorder="1" applyAlignment="1">
      <alignment horizontal="left" vertical="top" wrapText="1"/>
    </xf>
    <xf numFmtId="0" fontId="131" fillId="8" borderId="0" xfId="0" applyFont="1" applyFill="1" applyBorder="1" applyAlignment="1" applyProtection="1">
      <alignment horizontal="left" vertical="top"/>
      <protection hidden="1"/>
    </xf>
    <xf numFmtId="0" fontId="130" fillId="12" borderId="114" xfId="0" applyFont="1" applyFill="1" applyBorder="1"/>
    <xf numFmtId="0" fontId="130" fillId="8" borderId="95" xfId="0" applyFont="1" applyFill="1" applyBorder="1"/>
    <xf numFmtId="0" fontId="130" fillId="8" borderId="0" xfId="0" applyFont="1" applyFill="1" applyBorder="1" applyAlignment="1"/>
    <xf numFmtId="0" fontId="130" fillId="8" borderId="131" xfId="0" applyFont="1" applyFill="1" applyBorder="1" applyAlignment="1"/>
    <xf numFmtId="0" fontId="129" fillId="8" borderId="131" xfId="0" applyFont="1" applyFill="1" applyBorder="1" applyAlignment="1">
      <alignment horizontal="center" vertical="top"/>
    </xf>
    <xf numFmtId="0" fontId="130" fillId="8" borderId="131" xfId="0" applyFont="1" applyFill="1" applyBorder="1"/>
    <xf numFmtId="0" fontId="130" fillId="8" borderId="94" xfId="0" applyFont="1" applyFill="1" applyBorder="1" applyAlignment="1">
      <alignment vertical="top" wrapText="1"/>
    </xf>
    <xf numFmtId="0" fontId="130" fillId="8" borderId="0" xfId="0" applyFont="1" applyFill="1" applyBorder="1" applyAlignment="1">
      <alignment vertical="top" wrapText="1"/>
    </xf>
    <xf numFmtId="0" fontId="130" fillId="8" borderId="95" xfId="0" applyFont="1" applyFill="1" applyBorder="1" applyAlignment="1">
      <alignment vertical="top" wrapText="1"/>
    </xf>
    <xf numFmtId="0" fontId="131" fillId="8" borderId="96" xfId="0" applyFont="1" applyFill="1" applyBorder="1" applyProtection="1">
      <protection hidden="1"/>
    </xf>
    <xf numFmtId="0" fontId="131" fillId="8" borderId="97" xfId="0" applyFont="1" applyFill="1" applyBorder="1" applyProtection="1">
      <protection hidden="1"/>
    </xf>
    <xf numFmtId="0" fontId="130" fillId="8" borderId="93" xfId="0" applyFont="1" applyFill="1" applyBorder="1" applyAlignment="1">
      <alignment vertical="top" wrapText="1"/>
    </xf>
    <xf numFmtId="0" fontId="136" fillId="8" borderId="96" xfId="0" applyFont="1" applyFill="1" applyBorder="1"/>
    <xf numFmtId="0" fontId="136" fillId="8" borderId="97" xfId="0" applyFont="1" applyFill="1" applyBorder="1"/>
    <xf numFmtId="0" fontId="136" fillId="8" borderId="98" xfId="0" applyFont="1" applyFill="1" applyBorder="1"/>
    <xf numFmtId="0" fontId="129" fillId="8" borderId="131" xfId="0" applyFont="1" applyFill="1" applyBorder="1" applyAlignment="1"/>
    <xf numFmtId="0" fontId="130" fillId="8" borderId="91" xfId="0" applyFont="1" applyFill="1" applyBorder="1" applyAlignment="1">
      <alignment vertical="top" wrapText="1"/>
    </xf>
    <xf numFmtId="0" fontId="130" fillId="8" borderId="94" xfId="0" applyFont="1" applyFill="1" applyBorder="1" applyAlignment="1">
      <alignment horizontal="left" vertical="top" wrapText="1"/>
    </xf>
    <xf numFmtId="0" fontId="130" fillId="8" borderId="95" xfId="0" applyFont="1" applyFill="1" applyBorder="1" applyAlignment="1">
      <alignment horizontal="left" vertical="top" wrapText="1"/>
    </xf>
    <xf numFmtId="0" fontId="139" fillId="8" borderId="0" xfId="0" applyFont="1" applyFill="1"/>
    <xf numFmtId="0" fontId="0" fillId="8" borderId="92" xfId="0" applyFill="1" applyBorder="1"/>
    <xf numFmtId="0" fontId="125" fillId="8" borderId="0" xfId="5" applyFont="1" applyFill="1" applyBorder="1" applyAlignment="1">
      <alignment horizontal="center"/>
    </xf>
    <xf numFmtId="0" fontId="0" fillId="8" borderId="0" xfId="0" applyFill="1" applyAlignment="1"/>
    <xf numFmtId="0" fontId="146" fillId="8" borderId="0" xfId="0" applyFont="1" applyFill="1"/>
    <xf numFmtId="49" fontId="129" fillId="8" borderId="0" xfId="0" applyNumberFormat="1" applyFont="1" applyFill="1" applyBorder="1" applyAlignment="1" applyProtection="1">
      <alignment horizontal="left" vertical="top"/>
      <protection hidden="1"/>
    </xf>
    <xf numFmtId="49" fontId="137" fillId="8" borderId="0" xfId="0" applyNumberFormat="1" applyFont="1" applyFill="1" applyBorder="1" applyAlignment="1">
      <alignment horizontal="center" vertical="top"/>
    </xf>
    <xf numFmtId="0" fontId="0" fillId="8" borderId="0" xfId="0" applyFill="1" applyBorder="1"/>
    <xf numFmtId="0" fontId="133" fillId="8" borderId="0" xfId="0" applyFont="1" applyFill="1" applyBorder="1" applyAlignment="1" applyProtection="1">
      <alignment vertical="center"/>
      <protection locked="0"/>
    </xf>
    <xf numFmtId="49" fontId="136" fillId="8" borderId="92" xfId="0" applyNumberFormat="1" applyFont="1" applyFill="1" applyBorder="1" applyProtection="1">
      <protection hidden="1"/>
    </xf>
    <xf numFmtId="0" fontId="136" fillId="8" borderId="92" xfId="0" applyFont="1" applyFill="1" applyBorder="1" applyAlignment="1" applyProtection="1">
      <alignment horizontal="justify" vertical="top"/>
      <protection hidden="1"/>
    </xf>
    <xf numFmtId="0" fontId="130" fillId="8" borderId="92" xfId="0" applyFont="1" applyFill="1" applyBorder="1" applyAlignment="1" applyProtection="1">
      <alignment horizontal="left" vertical="top"/>
      <protection hidden="1"/>
    </xf>
    <xf numFmtId="49" fontId="136" fillId="8" borderId="0" xfId="0" applyNumberFormat="1" applyFont="1" applyFill="1" applyBorder="1" applyProtection="1">
      <protection hidden="1"/>
    </xf>
    <xf numFmtId="4" fontId="130" fillId="8" borderId="0" xfId="0" applyNumberFormat="1" applyFont="1" applyFill="1" applyBorder="1"/>
    <xf numFmtId="0" fontId="147" fillId="8" borderId="96" xfId="0" applyFont="1" applyFill="1" applyBorder="1" applyAlignment="1">
      <alignment vertical="center" wrapText="1"/>
    </xf>
    <xf numFmtId="0" fontId="2" fillId="8" borderId="0" xfId="7" applyFill="1"/>
    <xf numFmtId="0" fontId="148" fillId="8" borderId="0" xfId="7" applyFont="1" applyFill="1"/>
    <xf numFmtId="0" fontId="149" fillId="8" borderId="0" xfId="7" applyFont="1" applyFill="1" applyAlignment="1">
      <alignment horizontal="justify"/>
    </xf>
    <xf numFmtId="0" fontId="150" fillId="8" borderId="0" xfId="7" applyFont="1" applyFill="1"/>
    <xf numFmtId="0" fontId="111" fillId="8" borderId="0" xfId="7" applyFont="1" applyFill="1"/>
    <xf numFmtId="0" fontId="127" fillId="8" borderId="0" xfId="7" applyFont="1" applyFill="1" applyAlignment="1">
      <alignment vertical="top" wrapText="1"/>
    </xf>
    <xf numFmtId="0" fontId="2" fillId="8" borderId="0" xfId="7" applyFill="1" applyAlignment="1">
      <alignment wrapText="1"/>
    </xf>
    <xf numFmtId="0" fontId="127" fillId="8" borderId="0" xfId="7" applyFont="1" applyFill="1" applyAlignment="1">
      <alignment wrapText="1"/>
    </xf>
    <xf numFmtId="0" fontId="141" fillId="8" borderId="0" xfId="0" applyFont="1" applyFill="1" applyAlignment="1" applyProtection="1">
      <alignment vertical="center"/>
      <protection hidden="1"/>
    </xf>
    <xf numFmtId="0" fontId="2" fillId="8" borderId="0" xfId="0" applyFont="1" applyFill="1" applyAlignment="1" applyProtection="1">
      <alignment horizontal="center" vertical="center" wrapText="1"/>
      <protection hidden="1"/>
    </xf>
    <xf numFmtId="1" fontId="0" fillId="8" borderId="0" xfId="0" applyNumberFormat="1" applyFill="1" applyProtection="1">
      <protection hidden="1"/>
    </xf>
    <xf numFmtId="14" fontId="0" fillId="15" borderId="0" xfId="0" applyNumberFormat="1" applyFill="1" applyProtection="1">
      <protection hidden="1"/>
    </xf>
    <xf numFmtId="1" fontId="0" fillId="15" borderId="0" xfId="0" applyNumberFormat="1" applyFill="1" applyProtection="1">
      <protection hidden="1"/>
    </xf>
    <xf numFmtId="0" fontId="116" fillId="8" borderId="0" xfId="0" applyFont="1" applyFill="1" applyAlignment="1" applyProtection="1">
      <alignment horizontal="left"/>
      <protection hidden="1"/>
    </xf>
    <xf numFmtId="0" fontId="129" fillId="8" borderId="0" xfId="0" applyFont="1" applyFill="1" applyBorder="1" applyAlignment="1">
      <alignment horizontal="left" vertical="center"/>
    </xf>
    <xf numFmtId="165" fontId="18" fillId="3" borderId="0" xfId="0" applyNumberFormat="1" applyFont="1" applyFill="1" applyAlignment="1" applyProtection="1">
      <protection hidden="1"/>
    </xf>
    <xf numFmtId="165" fontId="18" fillId="3" borderId="0" xfId="0" applyNumberFormat="1" applyFont="1" applyFill="1" applyAlignment="1" applyProtection="1">
      <alignment horizontal="right"/>
      <protection hidden="1"/>
    </xf>
    <xf numFmtId="49" fontId="114" fillId="9" borderId="18" xfId="0" applyNumberFormat="1" applyFont="1" applyFill="1" applyBorder="1" applyAlignment="1" applyProtection="1">
      <alignment horizontal="right" vertical="center"/>
      <protection hidden="1"/>
    </xf>
    <xf numFmtId="0" fontId="131" fillId="8" borderId="94" xfId="0" applyFont="1" applyFill="1" applyBorder="1" applyProtection="1">
      <protection hidden="1"/>
    </xf>
    <xf numFmtId="0" fontId="152" fillId="8" borderId="0" xfId="0" applyFont="1" applyFill="1" applyProtection="1">
      <protection hidden="1"/>
    </xf>
    <xf numFmtId="0" fontId="129" fillId="8" borderId="0" xfId="0" applyFont="1" applyFill="1" applyBorder="1" applyAlignment="1">
      <alignment horizontal="center"/>
    </xf>
    <xf numFmtId="0" fontId="153" fillId="8" borderId="0" xfId="0" applyFont="1" applyFill="1" applyAlignment="1">
      <alignment horizontal="right" vertical="top"/>
    </xf>
    <xf numFmtId="0" fontId="116" fillId="0" borderId="55" xfId="0" applyFont="1" applyFill="1" applyBorder="1" applyAlignment="1" applyProtection="1">
      <protection hidden="1"/>
    </xf>
    <xf numFmtId="0" fontId="144" fillId="8" borderId="0" xfId="0" applyFont="1" applyFill="1" applyAlignment="1" applyProtection="1">
      <alignment horizontal="left" vertical="center"/>
      <protection hidden="1"/>
    </xf>
    <xf numFmtId="0" fontId="154" fillId="8" borderId="0" xfId="0" applyFont="1" applyFill="1" applyProtection="1">
      <protection hidden="1"/>
    </xf>
    <xf numFmtId="0" fontId="131" fillId="8" borderId="113" xfId="0" applyFont="1" applyFill="1" applyBorder="1" applyAlignment="1">
      <alignment horizontal="right" vertical="top"/>
    </xf>
    <xf numFmtId="0" fontId="1" fillId="17" borderId="87" xfId="0" applyNumberFormat="1" applyFont="1" applyFill="1" applyBorder="1" applyAlignment="1" applyProtection="1">
      <alignment horizontal="center" vertical="center"/>
      <protection hidden="1"/>
    </xf>
    <xf numFmtId="0" fontId="5" fillId="17" borderId="21" xfId="3" applyFont="1" applyFill="1" applyBorder="1" applyAlignment="1" applyProtection="1">
      <alignment horizontal="center" wrapText="1"/>
      <protection hidden="1"/>
    </xf>
    <xf numFmtId="0" fontId="5" fillId="17" borderId="34" xfId="0" applyNumberFormat="1" applyFont="1" applyFill="1" applyBorder="1" applyAlignment="1" applyProtection="1">
      <alignment horizontal="center" vertical="center" wrapText="1"/>
      <protection hidden="1"/>
    </xf>
    <xf numFmtId="49" fontId="1" fillId="11" borderId="67" xfId="3" applyNumberFormat="1" applyFont="1" applyFill="1" applyBorder="1" applyAlignment="1" applyProtection="1">
      <alignment horizontal="right"/>
      <protection locked="0"/>
    </xf>
    <xf numFmtId="49" fontId="1" fillId="11" borderId="78" xfId="3" applyNumberFormat="1" applyFont="1" applyFill="1" applyBorder="1" applyAlignment="1" applyProtection="1">
      <alignment horizontal="left"/>
      <protection locked="0"/>
    </xf>
    <xf numFmtId="0" fontId="0" fillId="8" borderId="0" xfId="0" applyFill="1" applyAlignment="1" applyProtection="1">
      <alignment vertical="top" wrapText="1"/>
      <protection hidden="1"/>
    </xf>
    <xf numFmtId="0" fontId="115" fillId="8" borderId="0" xfId="0" applyFont="1" applyFill="1" applyBorder="1" applyAlignment="1" applyProtection="1">
      <alignment vertical="center" wrapText="1"/>
      <protection hidden="1"/>
    </xf>
    <xf numFmtId="0" fontId="111" fillId="0" borderId="0" xfId="0" applyFont="1" applyFill="1" applyAlignment="1" applyProtection="1">
      <alignment vertical="center" wrapText="1"/>
      <protection hidden="1"/>
    </xf>
    <xf numFmtId="0" fontId="142" fillId="8" borderId="0" xfId="0" applyFont="1" applyFill="1" applyProtection="1">
      <protection locked="0"/>
    </xf>
    <xf numFmtId="0" fontId="140" fillId="8" borderId="0" xfId="0" applyFont="1" applyFill="1" applyProtection="1">
      <protection locked="0"/>
    </xf>
    <xf numFmtId="0" fontId="140" fillId="8" borderId="0" xfId="0" applyFont="1" applyFill="1" applyAlignment="1" applyProtection="1">
      <alignment vertical="top"/>
      <protection locked="0"/>
    </xf>
    <xf numFmtId="0" fontId="141" fillId="8" borderId="0" xfId="0" applyFont="1" applyFill="1" applyBorder="1" applyAlignment="1" applyProtection="1">
      <alignment horizontal="left" vertical="center"/>
      <protection locked="0"/>
    </xf>
    <xf numFmtId="0" fontId="130" fillId="8" borderId="0" xfId="0" applyFont="1" applyFill="1" applyBorder="1" applyProtection="1">
      <protection locked="0"/>
    </xf>
    <xf numFmtId="0" fontId="130" fillId="8" borderId="0" xfId="0" applyFont="1" applyFill="1" applyBorder="1" applyAlignment="1" applyProtection="1">
      <alignment vertical="top"/>
      <protection locked="0"/>
    </xf>
    <xf numFmtId="0" fontId="142" fillId="8" borderId="0" xfId="0" applyFont="1" applyFill="1" applyBorder="1" applyAlignment="1" applyProtection="1">
      <alignment vertical="top"/>
      <protection locked="0"/>
    </xf>
    <xf numFmtId="0" fontId="0" fillId="8" borderId="0" xfId="0" applyFill="1" applyProtection="1">
      <protection locked="0"/>
    </xf>
    <xf numFmtId="0" fontId="140" fillId="8" borderId="0" xfId="0" applyFont="1" applyFill="1" applyAlignment="1" applyProtection="1">
      <alignment vertical="center"/>
      <protection locked="0"/>
    </xf>
    <xf numFmtId="0" fontId="141" fillId="8" borderId="0" xfId="0" applyFont="1" applyFill="1" applyBorder="1" applyAlignment="1" applyProtection="1">
      <alignment horizontal="left" vertical="top"/>
      <protection hidden="1"/>
    </xf>
    <xf numFmtId="173" fontId="157" fillId="5" borderId="9" xfId="4" applyNumberFormat="1" applyFont="1" applyFill="1" applyBorder="1" applyAlignment="1" applyProtection="1">
      <alignment horizontal="center" vertical="center"/>
      <protection hidden="1"/>
    </xf>
    <xf numFmtId="0" fontId="1" fillId="8" borderId="0" xfId="0" applyFont="1" applyFill="1" applyAlignment="1" applyProtection="1">
      <alignment vertical="top"/>
      <protection hidden="1"/>
    </xf>
    <xf numFmtId="0" fontId="114" fillId="8" borderId="0" xfId="0" applyFont="1" applyFill="1" applyAlignment="1" applyProtection="1">
      <alignment vertical="center"/>
      <protection hidden="1"/>
    </xf>
    <xf numFmtId="0" fontId="160" fillId="8" borderId="0" xfId="0" applyFont="1" applyFill="1" applyAlignment="1" applyProtection="1">
      <alignment horizontal="center"/>
      <protection hidden="1"/>
    </xf>
    <xf numFmtId="0" fontId="0" fillId="8" borderId="0" xfId="0" applyFill="1" applyAlignment="1" applyProtection="1">
      <alignment horizontal="center"/>
      <protection hidden="1"/>
    </xf>
    <xf numFmtId="0" fontId="132" fillId="8" borderId="109" xfId="0" applyFont="1" applyFill="1" applyBorder="1" applyAlignment="1">
      <alignment vertical="top"/>
    </xf>
    <xf numFmtId="0" fontId="68" fillId="8" borderId="124" xfId="1" applyFill="1" applyBorder="1" applyAlignment="1" applyProtection="1">
      <alignment horizontal="center"/>
      <protection hidden="1"/>
    </xf>
    <xf numFmtId="0" fontId="1" fillId="8" borderId="46" xfId="3" applyFont="1" applyFill="1" applyBorder="1" applyAlignment="1" applyProtection="1">
      <alignment horizontal="right"/>
      <protection hidden="1"/>
    </xf>
    <xf numFmtId="0" fontId="120" fillId="8" borderId="0" xfId="0" applyFont="1" applyFill="1" applyAlignment="1" applyProtection="1">
      <alignment horizontal="center"/>
      <protection hidden="1"/>
    </xf>
    <xf numFmtId="0" fontId="1" fillId="17" borderId="87" xfId="0" applyNumberFormat="1" applyFont="1" applyFill="1" applyBorder="1" applyAlignment="1" applyProtection="1">
      <alignment horizontal="center" vertical="center" wrapText="1"/>
      <protection hidden="1"/>
    </xf>
    <xf numFmtId="0" fontId="0" fillId="8" borderId="0" xfId="0" applyFill="1" applyAlignment="1" applyProtection="1">
      <alignment vertical="center" wrapText="1"/>
      <protection hidden="1"/>
    </xf>
    <xf numFmtId="0" fontId="117" fillId="8" borderId="78" xfId="0" applyFont="1" applyFill="1" applyBorder="1" applyAlignment="1" applyProtection="1">
      <alignment horizontal="center"/>
      <protection locked="0"/>
    </xf>
    <xf numFmtId="0" fontId="122" fillId="8" borderId="104" xfId="0" applyFont="1" applyFill="1" applyBorder="1" applyAlignment="1">
      <alignment horizontal="left" vertical="top"/>
    </xf>
    <xf numFmtId="0" fontId="122" fillId="8" borderId="106" xfId="0" applyFont="1" applyFill="1" applyBorder="1" applyAlignment="1">
      <alignment horizontal="left" vertical="top"/>
    </xf>
    <xf numFmtId="0" fontId="122" fillId="8" borderId="123" xfId="0" applyFont="1" applyFill="1" applyBorder="1" applyAlignment="1">
      <alignment horizontal="left" vertical="top"/>
    </xf>
    <xf numFmtId="0" fontId="122" fillId="8" borderId="128" xfId="0" applyFont="1" applyFill="1" applyBorder="1" applyAlignment="1">
      <alignment horizontal="left" vertical="top"/>
    </xf>
    <xf numFmtId="0" fontId="2" fillId="0" borderId="0" xfId="4" applyFont="1" applyFill="1" applyBorder="1" applyAlignment="1" applyProtection="1">
      <alignment horizontal="right" vertical="center"/>
      <protection hidden="1"/>
    </xf>
    <xf numFmtId="0" fontId="162" fillId="18" borderId="0" xfId="8"/>
    <xf numFmtId="0" fontId="162" fillId="18" borderId="0" xfId="8" applyBorder="1"/>
    <xf numFmtId="164" fontId="162" fillId="18" borderId="0" xfId="8" applyNumberFormat="1" applyBorder="1" applyAlignment="1">
      <alignment horizontal="left"/>
    </xf>
    <xf numFmtId="0" fontId="162" fillId="18" borderId="37" xfId="8" applyBorder="1"/>
    <xf numFmtId="0" fontId="162" fillId="18" borderId="0" xfId="8" applyBorder="1" applyAlignment="1" applyProtection="1">
      <alignment horizontal="left"/>
    </xf>
    <xf numFmtId="0" fontId="162" fillId="18" borderId="0" xfId="8" applyBorder="1" applyAlignment="1">
      <alignment horizontal="left"/>
    </xf>
    <xf numFmtId="0" fontId="162" fillId="18" borderId="0" xfId="8" applyBorder="1" applyAlignment="1">
      <alignment horizontal="justify"/>
    </xf>
    <xf numFmtId="172" fontId="162" fillId="18" borderId="0" xfId="8" applyNumberFormat="1" applyBorder="1"/>
    <xf numFmtId="0" fontId="162" fillId="18" borderId="11" xfId="8" applyBorder="1"/>
    <xf numFmtId="0" fontId="162" fillId="18" borderId="11" xfId="8" applyBorder="1" applyAlignment="1">
      <alignment horizontal="center"/>
    </xf>
    <xf numFmtId="0" fontId="162" fillId="18" borderId="4" xfId="8" applyBorder="1" applyAlignment="1">
      <alignment horizontal="center"/>
    </xf>
    <xf numFmtId="0" fontId="162" fillId="18" borderId="12" xfId="8" applyBorder="1" applyAlignment="1">
      <alignment horizontal="center"/>
    </xf>
    <xf numFmtId="0" fontId="162" fillId="18" borderId="41" xfId="8" applyBorder="1" applyAlignment="1"/>
    <xf numFmtId="0" fontId="162" fillId="18" borderId="38" xfId="8" applyBorder="1" applyAlignment="1">
      <alignment horizontal="center"/>
    </xf>
    <xf numFmtId="0" fontId="162" fillId="18" borderId="39" xfId="8" applyBorder="1" applyAlignment="1">
      <alignment horizontal="center"/>
    </xf>
    <xf numFmtId="0" fontId="162" fillId="18" borderId="40" xfId="8" applyBorder="1" applyAlignment="1">
      <alignment horizontal="center"/>
    </xf>
    <xf numFmtId="0" fontId="162" fillId="18" borderId="34" xfId="8" applyBorder="1" applyAlignment="1">
      <alignment horizontal="center"/>
    </xf>
    <xf numFmtId="0" fontId="162" fillId="18" borderId="10" xfId="8" applyBorder="1" applyAlignment="1">
      <alignment horizontal="center"/>
    </xf>
    <xf numFmtId="0" fontId="162" fillId="18" borderId="31" xfId="8" applyBorder="1" applyAlignment="1">
      <alignment horizontal="center"/>
    </xf>
    <xf numFmtId="0" fontId="162" fillId="18" borderId="47" xfId="8" applyBorder="1" applyAlignment="1">
      <alignment horizontal="center"/>
    </xf>
    <xf numFmtId="0" fontId="162" fillId="18" borderId="24" xfId="8" applyBorder="1" applyAlignment="1">
      <alignment horizontal="center"/>
    </xf>
    <xf numFmtId="0" fontId="162" fillId="18" borderId="48" xfId="8" applyBorder="1" applyAlignment="1">
      <alignment horizontal="center"/>
    </xf>
    <xf numFmtId="0" fontId="162" fillId="18" borderId="54" xfId="8" applyBorder="1" applyAlignment="1">
      <alignment horizontal="center"/>
    </xf>
    <xf numFmtId="0" fontId="162" fillId="18" borderId="43" xfId="8" applyBorder="1" applyAlignment="1">
      <alignment horizontal="center"/>
    </xf>
    <xf numFmtId="0" fontId="162" fillId="18" borderId="44" xfId="8" applyBorder="1" applyAlignment="1">
      <alignment horizontal="center"/>
    </xf>
    <xf numFmtId="0" fontId="162" fillId="18" borderId="42" xfId="8" applyBorder="1" applyAlignment="1">
      <alignment horizontal="center"/>
    </xf>
    <xf numFmtId="0" fontId="162" fillId="18" borderId="7" xfId="8" applyBorder="1" applyAlignment="1">
      <alignment horizontal="center"/>
    </xf>
    <xf numFmtId="0" fontId="162" fillId="18" borderId="45" xfId="8" applyBorder="1" applyAlignment="1">
      <alignment horizontal="center"/>
    </xf>
    <xf numFmtId="0" fontId="162" fillId="18" borderId="46" xfId="8" applyBorder="1" applyAlignment="1">
      <alignment horizontal="center"/>
    </xf>
    <xf numFmtId="0" fontId="162" fillId="18" borderId="2" xfId="8" applyBorder="1" applyAlignment="1">
      <alignment horizontal="center"/>
    </xf>
    <xf numFmtId="0" fontId="162" fillId="18" borderId="0" xfId="8" applyBorder="1" applyAlignment="1"/>
    <xf numFmtId="0" fontId="162" fillId="18" borderId="29" xfId="8" applyBorder="1" applyAlignment="1">
      <alignment horizontal="center"/>
    </xf>
    <xf numFmtId="0" fontId="162" fillId="18" borderId="49" xfId="8" applyBorder="1" applyAlignment="1">
      <alignment horizontal="center"/>
    </xf>
    <xf numFmtId="0" fontId="162" fillId="18" borderId="9" xfId="8" applyBorder="1" applyAlignment="1">
      <alignment horizontal="center"/>
    </xf>
    <xf numFmtId="3" fontId="162" fillId="18" borderId="25" xfId="8" applyNumberFormat="1" applyBorder="1" applyAlignment="1">
      <alignment horizontal="center"/>
    </xf>
    <xf numFmtId="4" fontId="162" fillId="18" borderId="25" xfId="8" applyNumberFormat="1" applyBorder="1" applyAlignment="1">
      <alignment horizontal="center"/>
    </xf>
    <xf numFmtId="2" fontId="162" fillId="18" borderId="17" xfId="8" applyNumberFormat="1" applyBorder="1" applyAlignment="1">
      <alignment horizontal="center"/>
    </xf>
    <xf numFmtId="2" fontId="162" fillId="18" borderId="36" xfId="8" applyNumberFormat="1" applyBorder="1" applyAlignment="1">
      <alignment horizontal="center"/>
    </xf>
    <xf numFmtId="2" fontId="162" fillId="18" borderId="17" xfId="8" applyNumberFormat="1" applyBorder="1" applyAlignment="1">
      <alignment horizontal="center" readingOrder="1"/>
    </xf>
    <xf numFmtId="0" fontId="162" fillId="18" borderId="0" xfId="8" applyBorder="1" applyAlignment="1">
      <alignment horizontal="center"/>
    </xf>
    <xf numFmtId="2" fontId="162" fillId="18" borderId="50" xfId="8" applyNumberFormat="1" applyBorder="1" applyAlignment="1">
      <alignment horizontal="center"/>
    </xf>
    <xf numFmtId="3" fontId="162" fillId="18" borderId="28" xfId="8" applyNumberFormat="1" applyBorder="1" applyAlignment="1">
      <alignment horizontal="center"/>
    </xf>
    <xf numFmtId="3" fontId="162" fillId="18" borderId="19" xfId="8" applyNumberFormat="1" applyBorder="1" applyAlignment="1">
      <alignment horizontal="center"/>
    </xf>
    <xf numFmtId="2" fontId="162" fillId="18" borderId="18" xfId="8" applyNumberFormat="1" applyBorder="1" applyAlignment="1">
      <alignment horizontal="center"/>
    </xf>
    <xf numFmtId="2" fontId="162" fillId="18" borderId="33" xfId="8" applyNumberFormat="1" applyBorder="1" applyAlignment="1">
      <alignment horizontal="center"/>
    </xf>
    <xf numFmtId="3" fontId="162" fillId="18" borderId="51" xfId="8" applyNumberFormat="1" applyBorder="1" applyAlignment="1">
      <alignment horizontal="center"/>
    </xf>
    <xf numFmtId="2" fontId="162" fillId="18" borderId="52" xfId="8" applyNumberFormat="1" applyBorder="1" applyAlignment="1">
      <alignment horizontal="center"/>
    </xf>
    <xf numFmtId="3" fontId="162" fillId="18" borderId="0" xfId="8" applyNumberFormat="1" applyBorder="1" applyAlignment="1">
      <alignment horizontal="center"/>
    </xf>
    <xf numFmtId="2" fontId="162" fillId="18" borderId="0" xfId="8" applyNumberFormat="1" applyBorder="1" applyAlignment="1">
      <alignment horizontal="center"/>
    </xf>
    <xf numFmtId="0" fontId="162" fillId="18" borderId="21" xfId="8" applyBorder="1"/>
    <xf numFmtId="0" fontId="162" fillId="18" borderId="32" xfId="8" applyBorder="1" applyAlignment="1">
      <alignment horizontal="center"/>
    </xf>
    <xf numFmtId="3" fontId="162" fillId="18" borderId="36" xfId="8" applyNumberFormat="1" applyBorder="1"/>
    <xf numFmtId="2" fontId="162" fillId="18" borderId="53" xfId="8" applyNumberFormat="1" applyBorder="1" applyAlignment="1">
      <alignment horizontal="center"/>
    </xf>
    <xf numFmtId="2" fontId="162" fillId="18" borderId="25" xfId="8" applyNumberFormat="1" applyBorder="1" applyAlignment="1">
      <alignment horizontal="center"/>
    </xf>
    <xf numFmtId="2" fontId="162" fillId="18" borderId="28" xfId="8" applyNumberFormat="1" applyBorder="1" applyAlignment="1">
      <alignment horizontal="center"/>
    </xf>
    <xf numFmtId="3" fontId="162" fillId="18" borderId="33" xfId="8" applyNumberFormat="1" applyBorder="1"/>
    <xf numFmtId="2" fontId="162" fillId="18" borderId="49" xfId="8" applyNumberFormat="1" applyBorder="1" applyAlignment="1">
      <alignment horizontal="center"/>
    </xf>
    <xf numFmtId="2" fontId="162" fillId="18" borderId="29" xfId="8" applyNumberFormat="1" applyBorder="1" applyAlignment="1">
      <alignment horizontal="center"/>
    </xf>
    <xf numFmtId="2" fontId="162" fillId="18" borderId="19" xfId="8" applyNumberFormat="1" applyBorder="1" applyAlignment="1">
      <alignment horizontal="center"/>
    </xf>
    <xf numFmtId="2" fontId="162" fillId="18" borderId="0" xfId="8" applyNumberFormat="1" applyBorder="1"/>
    <xf numFmtId="0" fontId="162" fillId="18" borderId="0" xfId="8" applyAlignment="1"/>
    <xf numFmtId="0" fontId="162" fillId="18" borderId="8" xfId="8" applyBorder="1" applyAlignment="1"/>
    <xf numFmtId="2" fontId="162" fillId="18" borderId="0" xfId="8" applyNumberFormat="1" applyBorder="1" applyAlignment="1">
      <alignment horizontal="left"/>
    </xf>
    <xf numFmtId="0" fontId="162" fillId="18" borderId="1" xfId="8" applyBorder="1" applyAlignment="1">
      <alignment horizontal="center"/>
    </xf>
    <xf numFmtId="2" fontId="162" fillId="18" borderId="0" xfId="8" applyNumberFormat="1"/>
    <xf numFmtId="0" fontId="162" fillId="18" borderId="35" xfId="8" applyBorder="1" applyAlignment="1">
      <alignment horizontal="center"/>
    </xf>
    <xf numFmtId="2" fontId="162" fillId="18" borderId="16" xfId="8" applyNumberFormat="1" applyBorder="1" applyAlignment="1">
      <alignment horizontal="center"/>
    </xf>
    <xf numFmtId="0" fontId="162" fillId="18" borderId="25" xfId="8" applyBorder="1" applyAlignment="1">
      <alignment horizontal="center"/>
    </xf>
    <xf numFmtId="0" fontId="162" fillId="18" borderId="36" xfId="8" applyBorder="1" applyAlignment="1">
      <alignment horizontal="center"/>
    </xf>
    <xf numFmtId="2" fontId="162" fillId="18" borderId="11" xfId="8" applyNumberFormat="1" applyBorder="1"/>
    <xf numFmtId="2" fontId="162" fillId="18" borderId="14" xfId="8" applyNumberFormat="1" applyBorder="1"/>
    <xf numFmtId="2" fontId="162" fillId="18" borderId="4" xfId="8" applyNumberFormat="1" applyBorder="1"/>
    <xf numFmtId="2" fontId="162" fillId="18" borderId="21" xfId="8" applyNumberFormat="1" applyBorder="1" applyAlignment="1">
      <alignment horizontal="center"/>
    </xf>
    <xf numFmtId="2" fontId="162" fillId="18" borderId="7" xfId="8" applyNumberFormat="1" applyBorder="1"/>
    <xf numFmtId="2" fontId="162" fillId="18" borderId="22" xfId="8" applyNumberFormat="1" applyBorder="1"/>
    <xf numFmtId="2" fontId="162" fillId="18" borderId="8" xfId="8" applyNumberFormat="1" applyBorder="1" applyAlignment="1">
      <alignment horizontal="center"/>
    </xf>
    <xf numFmtId="2" fontId="162" fillId="18" borderId="23" xfId="8" applyNumberFormat="1" applyBorder="1"/>
    <xf numFmtId="2" fontId="162" fillId="18" borderId="24" xfId="8" applyNumberFormat="1" applyBorder="1" applyAlignment="1">
      <alignment horizontal="center"/>
    </xf>
    <xf numFmtId="2" fontId="162" fillId="18" borderId="20" xfId="8" applyNumberFormat="1" applyBorder="1" applyAlignment="1">
      <alignment horizontal="center"/>
    </xf>
    <xf numFmtId="2" fontId="162" fillId="18" borderId="26" xfId="8" applyNumberFormat="1" applyBorder="1"/>
    <xf numFmtId="2" fontId="162" fillId="18" borderId="27" xfId="8" applyNumberFormat="1" applyBorder="1" applyAlignment="1">
      <alignment horizontal="center"/>
    </xf>
    <xf numFmtId="2" fontId="162" fillId="18" borderId="29" xfId="8" applyNumberFormat="1" applyBorder="1"/>
    <xf numFmtId="2" fontId="162" fillId="18" borderId="22" xfId="8" applyNumberFormat="1" applyBorder="1" applyAlignment="1">
      <alignment horizontal="left"/>
    </xf>
    <xf numFmtId="2" fontId="162" fillId="18" borderId="30" xfId="8" applyNumberFormat="1" applyBorder="1"/>
    <xf numFmtId="2" fontId="162" fillId="18" borderId="0" xfId="8" applyNumberFormat="1" applyAlignment="1" applyProtection="1">
      <alignment horizontal="center"/>
      <protection hidden="1"/>
    </xf>
    <xf numFmtId="2" fontId="162" fillId="18" borderId="0" xfId="8" applyNumberFormat="1" applyProtection="1">
      <protection hidden="1"/>
    </xf>
    <xf numFmtId="0" fontId="162" fillId="18" borderId="33" xfId="8" applyBorder="1" applyAlignment="1">
      <alignment horizontal="center"/>
    </xf>
    <xf numFmtId="0" fontId="163" fillId="19" borderId="0" xfId="9"/>
    <xf numFmtId="4" fontId="0" fillId="0" borderId="0" xfId="0" applyNumberFormat="1" applyFill="1"/>
    <xf numFmtId="4" fontId="12" fillId="0" borderId="0" xfId="0" applyNumberFormat="1" applyFont="1" applyFill="1" applyBorder="1" applyAlignment="1"/>
    <xf numFmtId="4" fontId="13" fillId="0" borderId="17" xfId="0" applyNumberFormat="1" applyFont="1" applyFill="1" applyBorder="1" applyAlignment="1">
      <alignment horizontal="center"/>
    </xf>
    <xf numFmtId="4" fontId="12" fillId="0" borderId="0" xfId="0" applyNumberFormat="1" applyFont="1" applyFill="1" applyBorder="1" applyAlignment="1">
      <alignment horizontal="center"/>
    </xf>
    <xf numFmtId="4" fontId="13" fillId="0" borderId="50" xfId="0" applyNumberFormat="1" applyFont="1" applyFill="1" applyBorder="1" applyAlignment="1">
      <alignment horizontal="center"/>
    </xf>
    <xf numFmtId="4" fontId="13" fillId="0" borderId="28" xfId="0" applyNumberFormat="1" applyFont="1" applyFill="1" applyBorder="1" applyAlignment="1">
      <alignment horizontal="center"/>
    </xf>
    <xf numFmtId="4" fontId="13" fillId="0" borderId="19" xfId="0" applyNumberFormat="1" applyFont="1" applyFill="1" applyBorder="1" applyAlignment="1">
      <alignment horizontal="center"/>
    </xf>
    <xf numFmtId="4" fontId="13" fillId="0" borderId="51" xfId="0" applyNumberFormat="1" applyFont="1" applyFill="1" applyBorder="1" applyAlignment="1">
      <alignment horizontal="center"/>
    </xf>
    <xf numFmtId="4" fontId="13" fillId="0" borderId="0" xfId="0" applyNumberFormat="1" applyFont="1" applyFill="1" applyBorder="1" applyAlignment="1">
      <alignment horizontal="center"/>
    </xf>
    <xf numFmtId="4" fontId="0" fillId="0" borderId="0" xfId="0" applyNumberFormat="1" applyFill="1" applyBorder="1"/>
    <xf numFmtId="4" fontId="42" fillId="0" borderId="0" xfId="2" applyNumberFormat="1" applyFont="1" applyFill="1" applyBorder="1" applyAlignment="1" applyProtection="1">
      <alignment horizontal="left"/>
    </xf>
    <xf numFmtId="4" fontId="2" fillId="0" borderId="0" xfId="0" applyNumberFormat="1" applyFont="1" applyFill="1" applyBorder="1"/>
    <xf numFmtId="4" fontId="2" fillId="0" borderId="0" xfId="0" applyNumberFormat="1" applyFont="1" applyFill="1"/>
    <xf numFmtId="4" fontId="13" fillId="0" borderId="21" xfId="0" applyNumberFormat="1" applyFont="1" applyFill="1" applyBorder="1"/>
    <xf numFmtId="4" fontId="11" fillId="0" borderId="31" xfId="0" applyNumberFormat="1" applyFont="1" applyFill="1" applyBorder="1" applyAlignment="1">
      <alignment horizontal="center"/>
    </xf>
    <xf numFmtId="4" fontId="12" fillId="0" borderId="32" xfId="0" applyNumberFormat="1" applyFont="1" applyFill="1" applyBorder="1" applyAlignment="1">
      <alignment horizontal="center"/>
    </xf>
    <xf numFmtId="4" fontId="12" fillId="0" borderId="49" xfId="0" applyNumberFormat="1" applyFont="1" applyFill="1" applyBorder="1" applyAlignment="1">
      <alignment horizontal="center"/>
    </xf>
    <xf numFmtId="4" fontId="12" fillId="0" borderId="9" xfId="0" applyNumberFormat="1" applyFont="1" applyFill="1" applyBorder="1" applyAlignment="1">
      <alignment horizontal="center"/>
    </xf>
    <xf numFmtId="4" fontId="0" fillId="0" borderId="36" xfId="0" applyNumberFormat="1" applyFill="1" applyBorder="1"/>
    <xf numFmtId="4" fontId="13" fillId="0" borderId="53" xfId="0" applyNumberFormat="1" applyFont="1" applyFill="1" applyBorder="1" applyAlignment="1">
      <alignment horizontal="center"/>
    </xf>
    <xf numFmtId="4" fontId="0" fillId="0" borderId="33" xfId="0" applyNumberFormat="1" applyFill="1" applyBorder="1"/>
    <xf numFmtId="0" fontId="64" fillId="0" borderId="0" xfId="0" applyFont="1" applyFill="1" applyBorder="1" applyAlignment="1" applyProtection="1">
      <alignment horizontal="left" vertical="center" wrapText="1"/>
      <protection hidden="1"/>
    </xf>
    <xf numFmtId="2" fontId="0" fillId="0" borderId="30" xfId="0" applyNumberFormat="1" applyFill="1" applyBorder="1" applyAlignment="1">
      <alignment horizontal="center"/>
    </xf>
    <xf numFmtId="0" fontId="121" fillId="0" borderId="0" xfId="0" applyFont="1" applyFill="1" applyProtection="1">
      <protection hidden="1"/>
    </xf>
    <xf numFmtId="0" fontId="121" fillId="3" borderId="0" xfId="0" applyFont="1" applyFill="1" applyProtection="1">
      <protection hidden="1"/>
    </xf>
    <xf numFmtId="0" fontId="164" fillId="0" borderId="0" xfId="0" applyFont="1" applyFill="1" applyBorder="1" applyAlignment="1" applyProtection="1">
      <alignment horizontal="center" vertical="center"/>
      <protection hidden="1"/>
    </xf>
    <xf numFmtId="0" fontId="111" fillId="0" borderId="0" xfId="0" applyFont="1" applyFill="1" applyBorder="1" applyAlignment="1" applyProtection="1">
      <alignment horizontal="center" vertical="center" wrapText="1"/>
      <protection hidden="1"/>
    </xf>
    <xf numFmtId="168" fontId="64" fillId="0" borderId="0" xfId="0" applyNumberFormat="1" applyFont="1" applyFill="1" applyBorder="1" applyAlignment="1" applyProtection="1">
      <alignment vertical="top"/>
      <protection hidden="1"/>
    </xf>
    <xf numFmtId="0" fontId="64" fillId="0" borderId="0" xfId="0" applyFont="1" applyFill="1" applyBorder="1" applyAlignment="1" applyProtection="1">
      <alignment horizontal="left" vertical="top"/>
      <protection hidden="1"/>
    </xf>
    <xf numFmtId="0" fontId="65" fillId="0" borderId="0" xfId="0" applyFont="1" applyFill="1" applyBorder="1" applyAlignment="1" applyProtection="1">
      <protection hidden="1"/>
    </xf>
    <xf numFmtId="0" fontId="165" fillId="8" borderId="0" xfId="0" applyFont="1" applyFill="1" applyBorder="1" applyAlignment="1" applyProtection="1">
      <alignment horizontal="center" vertical="center" wrapText="1"/>
      <protection hidden="1"/>
    </xf>
    <xf numFmtId="0" fontId="111" fillId="0" borderId="0" xfId="0" applyFont="1" applyFill="1" applyBorder="1" applyAlignment="1" applyProtection="1">
      <alignment horizontal="center" vertical="center"/>
      <protection hidden="1"/>
    </xf>
    <xf numFmtId="0" fontId="168" fillId="8" borderId="0" xfId="0" applyFont="1" applyFill="1" applyBorder="1" applyProtection="1">
      <protection hidden="1"/>
    </xf>
    <xf numFmtId="0" fontId="167" fillId="8" borderId="0" xfId="0" applyFont="1" applyFill="1" applyBorder="1" applyAlignment="1" applyProtection="1">
      <alignment horizontal="center" vertical="center"/>
      <protection hidden="1"/>
    </xf>
    <xf numFmtId="0" fontId="64" fillId="0" borderId="0" xfId="0" applyFont="1" applyFill="1" applyBorder="1" applyAlignment="1" applyProtection="1">
      <alignment horizontal="left" vertical="center" wrapText="1"/>
      <protection hidden="1"/>
    </xf>
    <xf numFmtId="0" fontId="166" fillId="0" borderId="0" xfId="0" applyFont="1" applyFill="1" applyBorder="1" applyAlignment="1" applyProtection="1">
      <alignment vertical="center" wrapText="1"/>
      <protection hidden="1"/>
    </xf>
    <xf numFmtId="0" fontId="88" fillId="3" borderId="0" xfId="0" applyFont="1" applyFill="1" applyBorder="1" applyProtection="1">
      <protection hidden="1"/>
    </xf>
    <xf numFmtId="0" fontId="121" fillId="8" borderId="0" xfId="0" applyFont="1" applyFill="1" applyBorder="1" applyProtection="1">
      <protection hidden="1"/>
    </xf>
    <xf numFmtId="0" fontId="170" fillId="0" borderId="0" xfId="0" applyFont="1" applyFill="1" applyProtection="1">
      <protection hidden="1"/>
    </xf>
    <xf numFmtId="0" fontId="171" fillId="8" borderId="0" xfId="0" applyFont="1" applyFill="1" applyBorder="1" applyAlignment="1" applyProtection="1">
      <alignment horizontal="center" vertical="center" wrapText="1"/>
      <protection locked="0"/>
    </xf>
    <xf numFmtId="0" fontId="171" fillId="8" borderId="0" xfId="0" applyFont="1" applyFill="1" applyBorder="1" applyAlignment="1" applyProtection="1">
      <alignment horizontal="center" vertical="center"/>
      <protection locked="0"/>
    </xf>
    <xf numFmtId="0" fontId="169" fillId="8" borderId="0" xfId="0" applyFont="1" applyFill="1" applyBorder="1" applyAlignment="1" applyProtection="1">
      <alignment horizontal="center" vertical="center"/>
      <protection hidden="1"/>
    </xf>
    <xf numFmtId="0" fontId="172" fillId="8" borderId="0" xfId="0" applyFont="1" applyFill="1" applyBorder="1" applyAlignment="1" applyProtection="1">
      <alignment horizontal="center" vertical="center" wrapText="1"/>
      <protection hidden="1"/>
    </xf>
    <xf numFmtId="0" fontId="169" fillId="8" borderId="0" xfId="0" applyFont="1" applyFill="1" applyBorder="1" applyAlignment="1" applyProtection="1">
      <alignment horizontal="left" vertical="center" wrapText="1"/>
      <protection hidden="1"/>
    </xf>
    <xf numFmtId="0" fontId="164" fillId="20" borderId="78" xfId="0" applyFont="1" applyFill="1" applyBorder="1" applyAlignment="1" applyProtection="1">
      <alignment horizontal="center" vertical="center"/>
      <protection hidden="1"/>
    </xf>
    <xf numFmtId="0" fontId="129" fillId="8" borderId="123" xfId="0" applyFont="1" applyFill="1" applyBorder="1" applyAlignment="1" applyProtection="1">
      <alignment horizontal="left" vertical="center"/>
      <protection hidden="1"/>
    </xf>
    <xf numFmtId="0" fontId="170" fillId="7" borderId="48" xfId="0" applyFont="1" applyFill="1" applyBorder="1" applyAlignment="1" applyProtection="1">
      <alignment horizontal="centerContinuous"/>
      <protection hidden="1"/>
    </xf>
    <xf numFmtId="0" fontId="116" fillId="0" borderId="0" xfId="0" applyFont="1" applyFill="1" applyBorder="1" applyAlignment="1" applyProtection="1">
      <alignment horizontal="left"/>
      <protection hidden="1"/>
    </xf>
    <xf numFmtId="0" fontId="1" fillId="17" borderId="11" xfId="0" applyNumberFormat="1" applyFont="1" applyFill="1" applyBorder="1" applyAlignment="1" applyProtection="1">
      <alignment horizontal="center" vertical="center" wrapText="1"/>
      <protection hidden="1"/>
    </xf>
    <xf numFmtId="0" fontId="117" fillId="3" borderId="48" xfId="0" applyFont="1" applyFill="1" applyBorder="1" applyAlignment="1" applyProtection="1">
      <alignment horizontal="center"/>
      <protection locked="0"/>
    </xf>
    <xf numFmtId="0" fontId="117" fillId="3" borderId="77" xfId="0" applyFont="1" applyFill="1" applyBorder="1" applyAlignment="1" applyProtection="1">
      <alignment horizontal="center"/>
      <protection locked="0"/>
    </xf>
    <xf numFmtId="0" fontId="117" fillId="3" borderId="82" xfId="0" applyFont="1" applyFill="1" applyBorder="1" applyAlignment="1" applyProtection="1">
      <alignment horizontal="center"/>
      <protection locked="0"/>
    </xf>
    <xf numFmtId="49" fontId="117" fillId="3" borderId="23" xfId="0" applyNumberFormat="1" applyFont="1" applyFill="1" applyBorder="1" applyAlignment="1" applyProtection="1">
      <alignment horizontal="center"/>
      <protection locked="0"/>
    </xf>
    <xf numFmtId="49" fontId="117" fillId="3" borderId="26" xfId="0" applyNumberFormat="1" applyFont="1" applyFill="1" applyBorder="1" applyAlignment="1" applyProtection="1">
      <alignment horizontal="center"/>
      <protection locked="0"/>
    </xf>
    <xf numFmtId="49" fontId="117" fillId="3" borderId="85" xfId="0" applyNumberFormat="1" applyFont="1" applyFill="1" applyBorder="1" applyAlignment="1" applyProtection="1">
      <alignment horizontal="center"/>
      <protection locked="0"/>
    </xf>
    <xf numFmtId="49" fontId="117" fillId="3" borderId="125" xfId="0" applyNumberFormat="1" applyFont="1" applyFill="1" applyBorder="1" applyAlignment="1" applyProtection="1">
      <alignment horizontal="center"/>
      <protection locked="0"/>
    </xf>
    <xf numFmtId="49" fontId="117" fillId="3" borderId="137" xfId="0" applyNumberFormat="1" applyFont="1" applyFill="1" applyBorder="1" applyAlignment="1" applyProtection="1">
      <alignment horizontal="center"/>
      <protection locked="0"/>
    </xf>
    <xf numFmtId="0" fontId="117" fillId="3" borderId="36" xfId="0" applyFont="1" applyFill="1" applyBorder="1" applyAlignment="1" applyProtection="1">
      <alignment horizontal="center"/>
      <protection locked="0"/>
    </xf>
    <xf numFmtId="0" fontId="117" fillId="3" borderId="33" xfId="0" applyFont="1" applyFill="1" applyBorder="1" applyAlignment="1" applyProtection="1">
      <alignment horizontal="center"/>
      <protection locked="0"/>
    </xf>
    <xf numFmtId="0" fontId="129" fillId="8" borderId="0" xfId="0" applyFont="1" applyFill="1" applyBorder="1" applyAlignment="1" applyProtection="1">
      <alignment horizontal="right" vertical="top"/>
      <protection hidden="1"/>
    </xf>
    <xf numFmtId="0" fontId="122" fillId="8" borderId="0" xfId="0" applyFont="1" applyFill="1" applyBorder="1" applyAlignment="1" applyProtection="1">
      <alignment horizontal="left" vertical="center"/>
      <protection hidden="1"/>
    </xf>
    <xf numFmtId="0" fontId="130" fillId="8" borderId="140" xfId="0" applyFont="1" applyFill="1" applyBorder="1" applyAlignment="1">
      <alignment vertical="top" wrapText="1"/>
    </xf>
    <xf numFmtId="0" fontId="130" fillId="8" borderId="139" xfId="0" applyFont="1" applyFill="1" applyBorder="1"/>
    <xf numFmtId="0" fontId="129" fillId="8" borderId="138" xfId="0" applyFont="1" applyFill="1" applyBorder="1"/>
    <xf numFmtId="0" fontId="130" fillId="8" borderId="138" xfId="0" applyFont="1" applyFill="1" applyBorder="1"/>
    <xf numFmtId="0" fontId="130" fillId="8" borderId="142" xfId="0" applyFont="1" applyFill="1" applyBorder="1"/>
    <xf numFmtId="0" fontId="130" fillId="12" borderId="96" xfId="0" applyFont="1" applyFill="1" applyBorder="1"/>
    <xf numFmtId="14" fontId="177" fillId="8" borderId="0" xfId="0" applyNumberFormat="1" applyFont="1" applyFill="1" applyAlignment="1" applyProtection="1">
      <alignment horizontal="left" vertical="top"/>
      <protection hidden="1"/>
    </xf>
    <xf numFmtId="0" fontId="129" fillId="8" borderId="0" xfId="0" applyFont="1" applyFill="1" applyBorder="1" applyAlignment="1" applyProtection="1">
      <alignment horizontal="right" vertical="top"/>
      <protection hidden="1"/>
    </xf>
    <xf numFmtId="0" fontId="129" fillId="12" borderId="113" xfId="0" applyFont="1" applyFill="1" applyBorder="1" applyAlignment="1">
      <alignment vertical="center"/>
    </xf>
    <xf numFmtId="0" fontId="178" fillId="8" borderId="0" xfId="0" applyFont="1" applyFill="1" applyAlignment="1" applyProtection="1">
      <alignment vertical="center"/>
      <protection hidden="1"/>
    </xf>
    <xf numFmtId="0" fontId="179" fillId="8" borderId="0" xfId="0" applyFont="1" applyFill="1" applyProtection="1">
      <protection hidden="1"/>
    </xf>
    <xf numFmtId="0" fontId="136" fillId="8" borderId="0" xfId="0" quotePrefix="1" applyFont="1" applyFill="1" applyBorder="1" applyAlignment="1" applyProtection="1">
      <alignment horizontal="justify" vertical="top"/>
      <protection hidden="1"/>
    </xf>
    <xf numFmtId="0" fontId="129" fillId="12" borderId="113" xfId="0" applyFont="1" applyFill="1" applyBorder="1" applyAlignment="1">
      <alignment vertical="top"/>
    </xf>
    <xf numFmtId="0" fontId="154" fillId="0" borderId="0" xfId="4" applyFont="1" applyFill="1" applyAlignment="1" applyProtection="1">
      <alignment horizontal="center" vertical="center"/>
      <protection hidden="1"/>
    </xf>
    <xf numFmtId="0" fontId="154" fillId="0" borderId="0" xfId="4" applyFont="1" applyFill="1" applyAlignment="1" applyProtection="1">
      <alignment vertical="center"/>
      <protection hidden="1"/>
    </xf>
    <xf numFmtId="0" fontId="154" fillId="3" borderId="0" xfId="0" applyFont="1" applyFill="1" applyProtection="1">
      <protection hidden="1"/>
    </xf>
    <xf numFmtId="0" fontId="154" fillId="0" borderId="0" xfId="0" applyFont="1" applyFill="1" applyProtection="1">
      <protection hidden="1"/>
    </xf>
    <xf numFmtId="0" fontId="154" fillId="0" borderId="0" xfId="4" applyFont="1" applyFill="1" applyAlignment="1" applyProtection="1">
      <alignment horizontal="center" vertical="center"/>
      <protection locked="0"/>
    </xf>
    <xf numFmtId="0" fontId="116" fillId="0" borderId="70" xfId="0" applyFont="1" applyBorder="1" applyProtection="1">
      <protection hidden="1"/>
    </xf>
    <xf numFmtId="3" fontId="116" fillId="0" borderId="59" xfId="0" applyNumberFormat="1" applyFont="1" applyBorder="1" applyProtection="1">
      <protection hidden="1"/>
    </xf>
    <xf numFmtId="3" fontId="116" fillId="3" borderId="59" xfId="0" applyNumberFormat="1" applyFont="1" applyFill="1" applyBorder="1" applyProtection="1">
      <protection hidden="1"/>
    </xf>
    <xf numFmtId="3" fontId="116" fillId="3" borderId="134" xfId="0" applyNumberFormat="1" applyFont="1" applyFill="1" applyBorder="1" applyProtection="1">
      <protection hidden="1"/>
    </xf>
    <xf numFmtId="3" fontId="116" fillId="0" borderId="71" xfId="0" applyNumberFormat="1" applyFont="1" applyBorder="1" applyProtection="1">
      <protection hidden="1"/>
    </xf>
    <xf numFmtId="0" fontId="116" fillId="0" borderId="55" xfId="0" applyFont="1" applyBorder="1" applyAlignment="1" applyProtection="1">
      <alignment horizontal="right"/>
      <protection hidden="1"/>
    </xf>
    <xf numFmtId="3" fontId="116" fillId="0" borderId="0" xfId="0" applyNumberFormat="1" applyFont="1" applyBorder="1" applyAlignment="1" applyProtection="1">
      <alignment horizontal="right"/>
      <protection hidden="1"/>
    </xf>
    <xf numFmtId="3" fontId="116" fillId="0" borderId="0" xfId="0" applyNumberFormat="1" applyFont="1" applyFill="1" applyBorder="1" applyAlignment="1" applyProtection="1">
      <alignment horizontal="right"/>
      <protection hidden="1"/>
    </xf>
    <xf numFmtId="3" fontId="116" fillId="3" borderId="0" xfId="0" applyNumberFormat="1" applyFont="1" applyFill="1" applyBorder="1" applyAlignment="1" applyProtection="1">
      <alignment horizontal="right"/>
      <protection hidden="1"/>
    </xf>
    <xf numFmtId="3" fontId="116" fillId="3" borderId="46" xfId="0" applyNumberFormat="1" applyFont="1" applyFill="1" applyBorder="1" applyAlignment="1" applyProtection="1">
      <alignment horizontal="right"/>
      <protection hidden="1"/>
    </xf>
    <xf numFmtId="3" fontId="116" fillId="0" borderId="46" xfId="0" applyNumberFormat="1" applyFont="1" applyBorder="1" applyAlignment="1" applyProtection="1">
      <alignment horizontal="right"/>
      <protection hidden="1"/>
    </xf>
    <xf numFmtId="3" fontId="154" fillId="0" borderId="70" xfId="0" applyNumberFormat="1" applyFont="1" applyBorder="1" applyAlignment="1" applyProtection="1">
      <protection hidden="1"/>
    </xf>
    <xf numFmtId="3" fontId="154" fillId="0" borderId="59" xfId="0" applyNumberFormat="1" applyFont="1" applyBorder="1" applyAlignment="1" applyProtection="1">
      <protection hidden="1"/>
    </xf>
    <xf numFmtId="0" fontId="154" fillId="0" borderId="59" xfId="4" applyFont="1" applyFill="1" applyBorder="1" applyAlignment="1" applyProtection="1">
      <alignment vertical="center"/>
      <protection hidden="1"/>
    </xf>
    <xf numFmtId="3" fontId="154" fillId="0" borderId="59" xfId="0" applyNumberFormat="1" applyFont="1" applyFill="1" applyBorder="1" applyAlignment="1" applyProtection="1">
      <protection hidden="1"/>
    </xf>
    <xf numFmtId="3" fontId="154" fillId="3" borderId="59" xfId="0" applyNumberFormat="1" applyFont="1" applyFill="1" applyBorder="1" applyAlignment="1" applyProtection="1">
      <protection hidden="1"/>
    </xf>
    <xf numFmtId="3" fontId="154" fillId="3" borderId="134" xfId="0" applyNumberFormat="1" applyFont="1" applyFill="1" applyBorder="1" applyAlignment="1" applyProtection="1">
      <protection hidden="1"/>
    </xf>
    <xf numFmtId="3" fontId="154" fillId="0" borderId="71" xfId="0" applyNumberFormat="1" applyFont="1" applyBorder="1" applyAlignment="1" applyProtection="1">
      <protection hidden="1"/>
    </xf>
    <xf numFmtId="0" fontId="154" fillId="0" borderId="0" xfId="0" applyFont="1" applyFill="1" applyBorder="1" applyProtection="1">
      <protection hidden="1"/>
    </xf>
    <xf numFmtId="0" fontId="154" fillId="0" borderId="0" xfId="4" applyFont="1" applyFill="1" applyBorder="1" applyAlignment="1" applyProtection="1">
      <alignment vertical="center"/>
      <protection hidden="1"/>
    </xf>
    <xf numFmtId="3" fontId="154" fillId="0" borderId="55" xfId="0" applyNumberFormat="1" applyFont="1" applyFill="1" applyBorder="1" applyAlignment="1" applyProtection="1">
      <protection hidden="1"/>
    </xf>
    <xf numFmtId="3" fontId="154" fillId="0" borderId="0" xfId="0" applyNumberFormat="1" applyFont="1" applyBorder="1" applyAlignment="1" applyProtection="1">
      <protection hidden="1"/>
    </xf>
    <xf numFmtId="3" fontId="154" fillId="0" borderId="0" xfId="0" applyNumberFormat="1" applyFont="1" applyFill="1" applyBorder="1" applyAlignment="1" applyProtection="1">
      <protection hidden="1"/>
    </xf>
    <xf numFmtId="0" fontId="154" fillId="3" borderId="0" xfId="0" applyFont="1" applyFill="1" applyBorder="1" applyAlignment="1" applyProtection="1">
      <protection hidden="1"/>
    </xf>
    <xf numFmtId="3" fontId="154" fillId="3" borderId="0" xfId="0" applyNumberFormat="1" applyFont="1" applyFill="1" applyBorder="1" applyAlignment="1" applyProtection="1">
      <protection hidden="1"/>
    </xf>
    <xf numFmtId="0" fontId="154" fillId="0" borderId="46" xfId="0" applyFont="1" applyFill="1" applyBorder="1" applyAlignment="1" applyProtection="1">
      <protection hidden="1"/>
    </xf>
    <xf numFmtId="0" fontId="154" fillId="3" borderId="0" xfId="4" applyFont="1" applyFill="1" applyBorder="1" applyAlignment="1" applyProtection="1">
      <alignment vertical="center"/>
      <protection hidden="1"/>
    </xf>
    <xf numFmtId="3" fontId="154" fillId="0" borderId="27" xfId="0" applyNumberFormat="1" applyFont="1" applyBorder="1" applyAlignment="1" applyProtection="1">
      <protection hidden="1"/>
    </xf>
    <xf numFmtId="0" fontId="154" fillId="0" borderId="55" xfId="4" applyFont="1" applyFill="1" applyBorder="1" applyAlignment="1" applyProtection="1">
      <alignment vertical="center"/>
      <protection hidden="1"/>
    </xf>
    <xf numFmtId="0" fontId="154" fillId="0" borderId="57" xfId="4" applyFont="1" applyFill="1" applyBorder="1" applyAlignment="1" applyProtection="1">
      <alignment vertical="center"/>
      <protection hidden="1"/>
    </xf>
    <xf numFmtId="0" fontId="154" fillId="0" borderId="27" xfId="4" applyFont="1" applyFill="1" applyBorder="1" applyAlignment="1" applyProtection="1">
      <alignment vertical="center"/>
      <protection hidden="1"/>
    </xf>
    <xf numFmtId="0" fontId="154" fillId="3" borderId="27" xfId="0" applyFont="1" applyFill="1" applyBorder="1" applyAlignment="1" applyProtection="1">
      <protection hidden="1"/>
    </xf>
    <xf numFmtId="0" fontId="154" fillId="0" borderId="53" xfId="0" applyFont="1" applyFill="1" applyBorder="1" applyAlignment="1" applyProtection="1">
      <protection hidden="1"/>
    </xf>
    <xf numFmtId="0" fontId="1" fillId="8" borderId="0" xfId="0" applyFont="1" applyFill="1" applyAlignment="1" applyProtection="1">
      <alignment horizontal="left"/>
      <protection hidden="1"/>
    </xf>
    <xf numFmtId="0" fontId="114" fillId="8" borderId="0" xfId="0" applyFont="1" applyFill="1" applyAlignment="1" applyProtection="1">
      <protection hidden="1"/>
    </xf>
    <xf numFmtId="0" fontId="154" fillId="8" borderId="0" xfId="0" applyFont="1" applyFill="1" applyBorder="1" applyAlignment="1" applyProtection="1">
      <alignment horizontal="left" vertical="center"/>
      <protection hidden="1"/>
    </xf>
    <xf numFmtId="0" fontId="117" fillId="3" borderId="23" xfId="11" applyNumberFormat="1" applyFont="1" applyFill="1" applyBorder="1" applyAlignment="1" applyProtection="1">
      <alignment horizontal="center"/>
      <protection locked="0"/>
    </xf>
    <xf numFmtId="1" fontId="117" fillId="3" borderId="26" xfId="11" applyNumberFormat="1" applyFont="1" applyFill="1" applyBorder="1" applyAlignment="1" applyProtection="1">
      <alignment horizontal="center"/>
      <protection locked="0"/>
    </xf>
    <xf numFmtId="1" fontId="117" fillId="3" borderId="85" xfId="11" applyNumberFormat="1" applyFont="1" applyFill="1" applyBorder="1" applyAlignment="1" applyProtection="1">
      <alignment horizontal="center"/>
      <protection locked="0"/>
    </xf>
    <xf numFmtId="0" fontId="143" fillId="8" borderId="0" xfId="0" applyFont="1" applyFill="1" applyProtection="1">
      <protection locked="0"/>
    </xf>
    <xf numFmtId="0" fontId="117" fillId="3" borderId="25" xfId="0" applyFont="1" applyFill="1" applyBorder="1" applyAlignment="1" applyProtection="1">
      <alignment horizontal="center" wrapText="1"/>
      <protection locked="0"/>
    </xf>
    <xf numFmtId="0" fontId="114" fillId="8" borderId="0" xfId="0" applyFont="1" applyFill="1"/>
    <xf numFmtId="0" fontId="130" fillId="8" borderId="0" xfId="0" applyFont="1" applyFill="1" applyBorder="1" applyAlignment="1">
      <alignment horizontal="left" vertical="top" wrapText="1"/>
    </xf>
    <xf numFmtId="0" fontId="130" fillId="8" borderId="0" xfId="0" applyFont="1" applyFill="1" applyBorder="1" applyAlignment="1">
      <alignment horizontal="justify" vertical="top" wrapText="1"/>
    </xf>
    <xf numFmtId="0" fontId="129" fillId="8" borderId="0" xfId="0" applyFont="1" applyFill="1" applyBorder="1" applyAlignment="1">
      <alignment horizontal="center" vertical="top" wrapText="1"/>
    </xf>
    <xf numFmtId="0" fontId="129" fillId="8" borderId="0" xfId="0" applyFont="1" applyFill="1" applyBorder="1" applyAlignment="1">
      <alignment horizontal="center" vertical="top"/>
    </xf>
    <xf numFmtId="0" fontId="129" fillId="8" borderId="131" xfId="0" applyFont="1" applyFill="1" applyBorder="1" applyAlignment="1">
      <alignment horizontal="center" vertical="top"/>
    </xf>
    <xf numFmtId="0" fontId="129" fillId="12" borderId="92" xfId="0" applyFont="1" applyFill="1" applyBorder="1"/>
    <xf numFmtId="0" fontId="129" fillId="12" borderId="93" xfId="0" applyFont="1" applyFill="1" applyBorder="1"/>
    <xf numFmtId="0" fontId="130" fillId="8" borderId="120" xfId="0" applyFont="1" applyFill="1" applyBorder="1" applyAlignment="1">
      <alignment vertical="top" wrapText="1"/>
    </xf>
    <xf numFmtId="0" fontId="130" fillId="8" borderId="123" xfId="0" applyFont="1" applyFill="1" applyBorder="1" applyAlignment="1">
      <alignment vertical="top" wrapText="1"/>
    </xf>
    <xf numFmtId="0" fontId="0" fillId="8" borderId="116" xfId="0" applyFill="1" applyBorder="1" applyProtection="1">
      <protection hidden="1"/>
    </xf>
    <xf numFmtId="0" fontId="131" fillId="8" borderId="94" xfId="0" applyFont="1" applyFill="1" applyBorder="1" applyAlignment="1" applyProtection="1">
      <alignment horizontal="left" vertical="top" wrapText="1"/>
      <protection hidden="1"/>
    </xf>
    <xf numFmtId="0" fontId="131" fillId="8" borderId="95" xfId="0" applyFont="1" applyFill="1" applyBorder="1" applyAlignment="1" applyProtection="1">
      <alignment horizontal="left" vertical="top"/>
      <protection hidden="1"/>
    </xf>
    <xf numFmtId="0" fontId="130" fillId="8" borderId="117" xfId="0" applyFont="1" applyFill="1" applyBorder="1" applyAlignment="1">
      <alignment vertical="top" wrapText="1"/>
    </xf>
    <xf numFmtId="0" fontId="130" fillId="8" borderId="116" xfId="0" applyFont="1" applyFill="1" applyBorder="1" applyAlignment="1">
      <alignment vertical="top" wrapText="1"/>
    </xf>
    <xf numFmtId="0" fontId="131" fillId="8" borderId="145" xfId="0" applyFont="1" applyFill="1" applyBorder="1" applyAlignment="1" applyProtection="1">
      <alignment horizontal="left" vertical="top" wrapText="1"/>
      <protection hidden="1"/>
    </xf>
    <xf numFmtId="0" fontId="131" fillId="8" borderId="144" xfId="0" applyFont="1" applyFill="1" applyBorder="1" applyAlignment="1" applyProtection="1">
      <alignment horizontal="left" vertical="top"/>
      <protection hidden="1"/>
    </xf>
    <xf numFmtId="0" fontId="131" fillId="8" borderId="146" xfId="0" applyFont="1" applyFill="1" applyBorder="1" applyAlignment="1" applyProtection="1">
      <alignment horizontal="left" vertical="top"/>
      <protection hidden="1"/>
    </xf>
    <xf numFmtId="0" fontId="131" fillId="8" borderId="143" xfId="0" applyFont="1" applyFill="1" applyBorder="1" applyAlignment="1" applyProtection="1">
      <alignment horizontal="left" vertical="top"/>
      <protection hidden="1"/>
    </xf>
    <xf numFmtId="0" fontId="152" fillId="8" borderId="0" xfId="0" applyFont="1" applyFill="1" applyProtection="1">
      <protection locked="0"/>
    </xf>
    <xf numFmtId="0" fontId="182" fillId="8" borderId="0" xfId="0" applyFont="1" applyFill="1" applyProtection="1">
      <protection hidden="1"/>
    </xf>
    <xf numFmtId="0" fontId="183" fillId="8" borderId="91" xfId="0" applyFont="1" applyFill="1" applyBorder="1" applyAlignment="1" applyProtection="1">
      <alignment vertical="top" wrapText="1"/>
      <protection hidden="1"/>
    </xf>
    <xf numFmtId="0" fontId="184" fillId="8" borderId="95" xfId="0" applyFont="1" applyFill="1" applyBorder="1" applyProtection="1">
      <protection hidden="1"/>
    </xf>
    <xf numFmtId="0" fontId="182" fillId="8" borderId="0" xfId="0" applyFont="1" applyFill="1"/>
    <xf numFmtId="0" fontId="185" fillId="8" borderId="0" xfId="0" applyFont="1" applyFill="1" applyProtection="1">
      <protection locked="0"/>
    </xf>
    <xf numFmtId="0" fontId="186" fillId="8" borderId="0" xfId="0" applyFont="1" applyFill="1"/>
    <xf numFmtId="0" fontId="183" fillId="8" borderId="96" xfId="0" applyFont="1" applyFill="1" applyBorder="1" applyAlignment="1" applyProtection="1">
      <alignment vertical="top" wrapText="1"/>
      <protection hidden="1"/>
    </xf>
    <xf numFmtId="0" fontId="184" fillId="8" borderId="98" xfId="0" applyFont="1" applyFill="1" applyBorder="1" applyProtection="1">
      <protection hidden="1"/>
    </xf>
    <xf numFmtId="0" fontId="183" fillId="8" borderId="113" xfId="0" applyFont="1" applyFill="1" applyBorder="1" applyAlignment="1" applyProtection="1">
      <alignment horizontal="left" vertical="top" wrapText="1"/>
      <protection hidden="1"/>
    </xf>
    <xf numFmtId="0" fontId="184" fillId="8" borderId="113" xfId="0" applyFont="1" applyFill="1" applyBorder="1" applyProtection="1">
      <protection hidden="1"/>
    </xf>
    <xf numFmtId="0" fontId="183" fillId="8" borderId="91" xfId="0" applyFont="1" applyFill="1" applyBorder="1" applyAlignment="1" applyProtection="1">
      <alignment wrapText="1"/>
      <protection hidden="1"/>
    </xf>
    <xf numFmtId="0" fontId="183" fillId="8" borderId="94" xfId="0" applyFont="1" applyFill="1" applyBorder="1" applyAlignment="1" applyProtection="1">
      <alignment vertical="top" wrapText="1"/>
      <protection hidden="1"/>
    </xf>
    <xf numFmtId="0" fontId="186" fillId="8" borderId="0" xfId="0" applyFont="1" applyFill="1" applyAlignment="1">
      <alignment vertical="top"/>
    </xf>
    <xf numFmtId="0" fontId="184" fillId="8" borderId="0" xfId="0" applyFont="1" applyFill="1" applyProtection="1">
      <protection hidden="1"/>
    </xf>
    <xf numFmtId="0" fontId="184" fillId="8" borderId="0" xfId="0" applyFont="1" applyFill="1"/>
    <xf numFmtId="0" fontId="184" fillId="8" borderId="93" xfId="0" applyFont="1" applyFill="1" applyBorder="1" applyProtection="1">
      <protection hidden="1"/>
    </xf>
    <xf numFmtId="0" fontId="184" fillId="8" borderId="98" xfId="0" applyFont="1" applyFill="1" applyBorder="1"/>
    <xf numFmtId="0" fontId="136" fillId="8" borderId="0" xfId="0" applyFont="1" applyFill="1" applyBorder="1"/>
    <xf numFmtId="49" fontId="187" fillId="8" borderId="0" xfId="0" applyNumberFormat="1" applyFont="1" applyFill="1" applyBorder="1" applyAlignment="1">
      <alignment horizontal="right"/>
    </xf>
    <xf numFmtId="0" fontId="139" fillId="8" borderId="0" xfId="0" applyFont="1" applyFill="1" applyAlignment="1">
      <alignment vertical="center"/>
    </xf>
    <xf numFmtId="0" fontId="139" fillId="8" borderId="0" xfId="0" applyFont="1" applyFill="1" applyAlignment="1">
      <alignment horizontal="right" vertical="center"/>
    </xf>
    <xf numFmtId="0" fontId="192" fillId="8" borderId="0" xfId="0" applyFont="1" applyFill="1"/>
    <xf numFmtId="0" fontId="2" fillId="8" borderId="0" xfId="0" applyFont="1" applyFill="1"/>
    <xf numFmtId="0" fontId="193" fillId="8" borderId="0" xfId="0" applyFont="1" applyFill="1" applyAlignment="1">
      <alignment vertical="center"/>
    </xf>
    <xf numFmtId="0" fontId="168" fillId="8" borderId="0" xfId="0" applyFont="1" applyFill="1"/>
    <xf numFmtId="176" fontId="153" fillId="8" borderId="31" xfId="0" applyNumberFormat="1" applyFont="1" applyFill="1" applyBorder="1" applyAlignment="1" applyProtection="1">
      <alignment vertical="center" wrapText="1"/>
      <protection hidden="1"/>
    </xf>
    <xf numFmtId="176" fontId="153" fillId="8" borderId="0" xfId="0" applyNumberFormat="1" applyFont="1" applyFill="1" applyAlignment="1" applyProtection="1">
      <alignment vertical="center" wrapText="1"/>
      <protection hidden="1"/>
    </xf>
    <xf numFmtId="0" fontId="0" fillId="8" borderId="34" xfId="0" applyFill="1" applyBorder="1"/>
    <xf numFmtId="0" fontId="168" fillId="8" borderId="31" xfId="0" applyFont="1" applyFill="1" applyBorder="1" applyProtection="1">
      <protection hidden="1"/>
    </xf>
    <xf numFmtId="0" fontId="195" fillId="8" borderId="0" xfId="0" applyFont="1" applyFill="1" applyAlignment="1">
      <alignment vertical="center"/>
    </xf>
    <xf numFmtId="0" fontId="196" fillId="8" borderId="0" xfId="0" applyFont="1" applyFill="1" applyAlignment="1">
      <alignment vertical="center"/>
    </xf>
    <xf numFmtId="0" fontId="121" fillId="8" borderId="0" xfId="0" applyFont="1" applyFill="1"/>
    <xf numFmtId="0" fontId="154" fillId="8" borderId="0" xfId="0" applyFont="1" applyFill="1"/>
    <xf numFmtId="176" fontId="194" fillId="8" borderId="0" xfId="0" applyNumberFormat="1" applyFont="1" applyFill="1" applyBorder="1" applyAlignment="1" applyProtection="1">
      <alignment vertical="center" wrapText="1"/>
      <protection hidden="1"/>
    </xf>
    <xf numFmtId="0" fontId="121" fillId="8" borderId="0" xfId="0" applyFont="1" applyFill="1" applyBorder="1"/>
    <xf numFmtId="9" fontId="190" fillId="8" borderId="0" xfId="11" applyFont="1" applyFill="1" applyBorder="1" applyAlignment="1">
      <alignment vertical="center"/>
    </xf>
    <xf numFmtId="0" fontId="197" fillId="8" borderId="0" xfId="0" applyFont="1" applyFill="1" applyBorder="1"/>
    <xf numFmtId="9" fontId="190" fillId="8" borderId="0" xfId="11" applyFont="1" applyFill="1" applyBorder="1"/>
    <xf numFmtId="0" fontId="12" fillId="0" borderId="47" xfId="0" applyFont="1" applyFill="1" applyBorder="1" applyAlignment="1">
      <alignment horizontal="center"/>
    </xf>
    <xf numFmtId="0" fontId="12" fillId="0" borderId="24" xfId="0" applyFont="1" applyFill="1" applyBorder="1" applyAlignment="1">
      <alignment horizontal="center"/>
    </xf>
    <xf numFmtId="0" fontId="12" fillId="0" borderId="48" xfId="0" applyFont="1" applyFill="1" applyBorder="1" applyAlignment="1">
      <alignment horizontal="center"/>
    </xf>
    <xf numFmtId="4" fontId="12" fillId="0" borderId="10" xfId="0" applyNumberFormat="1" applyFont="1" applyFill="1" applyBorder="1" applyAlignment="1">
      <alignment horizontal="center"/>
    </xf>
    <xf numFmtId="0" fontId="38" fillId="0" borderId="0" xfId="0" applyFont="1" applyFill="1" applyBorder="1"/>
    <xf numFmtId="0" fontId="38" fillId="0" borderId="37" xfId="0" applyFont="1" applyFill="1" applyBorder="1"/>
    <xf numFmtId="0" fontId="1" fillId="0" borderId="47" xfId="0" applyFont="1" applyFill="1" applyBorder="1" applyAlignment="1">
      <alignment horizontal="center"/>
    </xf>
    <xf numFmtId="0" fontId="1" fillId="0" borderId="24" xfId="0" applyFont="1" applyFill="1" applyBorder="1" applyAlignment="1">
      <alignment horizontal="center"/>
    </xf>
    <xf numFmtId="0" fontId="1" fillId="0" borderId="48" xfId="0" applyFont="1" applyFill="1" applyBorder="1" applyAlignment="1">
      <alignment horizontal="center"/>
    </xf>
    <xf numFmtId="0" fontId="162" fillId="18" borderId="47" xfId="8" applyBorder="1" applyAlignment="1">
      <alignment horizontal="center"/>
    </xf>
    <xf numFmtId="0" fontId="162" fillId="18" borderId="24" xfId="8" applyBorder="1" applyAlignment="1">
      <alignment horizontal="center"/>
    </xf>
    <xf numFmtId="0" fontId="162" fillId="18" borderId="48" xfId="8" applyBorder="1" applyAlignment="1">
      <alignment horizontal="center"/>
    </xf>
    <xf numFmtId="0" fontId="162" fillId="18" borderId="0" xfId="8" applyBorder="1"/>
    <xf numFmtId="0" fontId="162" fillId="18" borderId="37" xfId="8" applyBorder="1"/>
    <xf numFmtId="0" fontId="162" fillId="18" borderId="10" xfId="8" applyBorder="1" applyAlignment="1">
      <alignment horizontal="center"/>
    </xf>
    <xf numFmtId="0" fontId="127" fillId="8" borderId="0" xfId="7" applyFont="1" applyFill="1" applyAlignment="1">
      <alignment horizontal="justify" wrapText="1"/>
    </xf>
    <xf numFmtId="0" fontId="127" fillId="8" borderId="0" xfId="7" applyFont="1" applyFill="1" applyAlignment="1">
      <alignment horizontal="center" vertical="top" wrapText="1"/>
    </xf>
    <xf numFmtId="0" fontId="151" fillId="8" borderId="0" xfId="7" applyFont="1" applyFill="1" applyAlignment="1">
      <alignment horizontal="center"/>
    </xf>
    <xf numFmtId="0" fontId="127" fillId="8" borderId="0" xfId="7" applyFont="1" applyFill="1" applyAlignment="1">
      <alignment horizontal="center" wrapText="1"/>
    </xf>
    <xf numFmtId="0" fontId="173" fillId="0" borderId="0" xfId="10" applyFill="1" applyBorder="1" applyAlignment="1" applyProtection="1">
      <alignment horizontal="left" vertical="center" wrapText="1"/>
      <protection hidden="1"/>
    </xf>
    <xf numFmtId="0" fontId="99" fillId="7" borderId="10" xfId="0" applyFont="1" applyFill="1" applyBorder="1" applyAlignment="1" applyProtection="1">
      <alignment horizontal="center" vertical="center" wrapText="1"/>
      <protection hidden="1"/>
    </xf>
    <xf numFmtId="0" fontId="64" fillId="0" borderId="1" xfId="0" applyFont="1" applyFill="1" applyBorder="1" applyAlignment="1" applyProtection="1">
      <alignment horizontal="left" vertical="center" wrapText="1"/>
      <protection hidden="1"/>
    </xf>
    <xf numFmtId="0" fontId="64" fillId="0" borderId="0" xfId="0" applyFont="1" applyFill="1" applyBorder="1" applyAlignment="1" applyProtection="1">
      <alignment horizontal="left" vertical="center" wrapText="1"/>
      <protection hidden="1"/>
    </xf>
    <xf numFmtId="0" fontId="156" fillId="0" borderId="0" xfId="0" applyFont="1" applyFill="1" applyAlignment="1" applyProtection="1">
      <alignment horizontal="center" vertical="center" wrapText="1"/>
      <protection hidden="1"/>
    </xf>
    <xf numFmtId="0" fontId="161" fillId="8" borderId="0" xfId="0" applyFont="1" applyFill="1" applyBorder="1" applyAlignment="1" applyProtection="1">
      <alignment horizontal="left" vertical="top" wrapText="1"/>
      <protection hidden="1"/>
    </xf>
    <xf numFmtId="0" fontId="115" fillId="8" borderId="0" xfId="0" applyFont="1" applyFill="1" applyBorder="1" applyAlignment="1" applyProtection="1">
      <alignment horizontal="left" vertical="center" wrapText="1"/>
      <protection hidden="1"/>
    </xf>
    <xf numFmtId="0" fontId="17" fillId="3" borderId="0" xfId="0" applyFont="1" applyFill="1" applyAlignment="1" applyProtection="1">
      <alignment horizontal="justify" wrapText="1"/>
      <protection hidden="1"/>
    </xf>
    <xf numFmtId="0" fontId="18" fillId="3" borderId="0" xfId="0" applyFont="1" applyFill="1" applyAlignment="1" applyProtection="1">
      <alignment horizontal="justify" wrapText="1"/>
      <protection hidden="1"/>
    </xf>
    <xf numFmtId="0" fontId="10" fillId="3" borderId="0" xfId="0" applyFont="1" applyFill="1" applyAlignment="1" applyProtection="1">
      <alignment horizontal="center"/>
      <protection hidden="1"/>
    </xf>
    <xf numFmtId="0" fontId="16" fillId="3" borderId="0" xfId="0" applyFont="1" applyFill="1" applyAlignment="1" applyProtection="1">
      <alignment horizontal="center"/>
      <protection hidden="1"/>
    </xf>
    <xf numFmtId="0" fontId="108" fillId="3" borderId="0" xfId="0" applyFont="1" applyFill="1" applyAlignment="1" applyProtection="1">
      <alignment horizontal="center" wrapText="1"/>
      <protection hidden="1"/>
    </xf>
    <xf numFmtId="0" fontId="5" fillId="17" borderId="34" xfId="0" applyNumberFormat="1" applyFont="1" applyFill="1" applyBorder="1" applyAlignment="1" applyProtection="1">
      <alignment horizontal="center" vertical="center"/>
      <protection hidden="1"/>
    </xf>
    <xf numFmtId="0" fontId="5" fillId="17" borderId="31" xfId="0" applyNumberFormat="1" applyFont="1" applyFill="1" applyBorder="1" applyAlignment="1" applyProtection="1">
      <alignment horizontal="center" vertical="center"/>
      <protection hidden="1"/>
    </xf>
    <xf numFmtId="0" fontId="117" fillId="8" borderId="67" xfId="3" applyNumberFormat="1" applyFont="1" applyFill="1" applyBorder="1" applyAlignment="1" applyProtection="1">
      <alignment horizontal="center"/>
      <protection hidden="1"/>
    </xf>
    <xf numFmtId="0" fontId="117" fillId="8" borderId="76" xfId="3" applyNumberFormat="1" applyFont="1" applyFill="1" applyBorder="1" applyAlignment="1" applyProtection="1">
      <alignment horizontal="center"/>
      <protection hidden="1"/>
    </xf>
    <xf numFmtId="0" fontId="117" fillId="8" borderId="67" xfId="0" applyFont="1" applyFill="1" applyBorder="1" applyAlignment="1" applyProtection="1">
      <alignment horizontal="center"/>
      <protection locked="0"/>
    </xf>
    <xf numFmtId="0" fontId="117" fillId="8" borderId="76" xfId="0" applyFont="1" applyFill="1" applyBorder="1" applyAlignment="1" applyProtection="1">
      <alignment horizontal="center"/>
      <protection locked="0"/>
    </xf>
    <xf numFmtId="49" fontId="117" fillId="8" borderId="67" xfId="3" applyNumberFormat="1" applyFont="1" applyFill="1" applyBorder="1" applyAlignment="1" applyProtection="1">
      <alignment horizontal="center"/>
      <protection locked="0"/>
    </xf>
    <xf numFmtId="49" fontId="117" fillId="8" borderId="76" xfId="3" applyNumberFormat="1" applyFont="1" applyFill="1" applyBorder="1" applyAlignment="1" applyProtection="1">
      <alignment horizontal="center"/>
      <protection locked="0"/>
    </xf>
    <xf numFmtId="49" fontId="117" fillId="8" borderId="67" xfId="3" applyNumberFormat="1" applyFont="1" applyFill="1" applyBorder="1" applyAlignment="1" applyProtection="1">
      <alignment horizontal="center"/>
      <protection hidden="1"/>
    </xf>
    <xf numFmtId="49" fontId="117" fillId="8" borderId="76" xfId="3" applyNumberFormat="1" applyFont="1" applyFill="1" applyBorder="1" applyAlignment="1" applyProtection="1">
      <alignment horizontal="center"/>
      <protection hidden="1"/>
    </xf>
    <xf numFmtId="0" fontId="117" fillId="8" borderId="124" xfId="0" applyFont="1" applyFill="1" applyBorder="1" applyAlignment="1" applyProtection="1">
      <alignment horizontal="center" vertical="center"/>
      <protection hidden="1"/>
    </xf>
    <xf numFmtId="0" fontId="117" fillId="8" borderId="125" xfId="0" applyFont="1" applyFill="1" applyBorder="1" applyAlignment="1" applyProtection="1">
      <alignment horizontal="center" vertical="center"/>
      <protection hidden="1"/>
    </xf>
    <xf numFmtId="49" fontId="117" fillId="8" borderId="124" xfId="0" applyNumberFormat="1" applyFont="1" applyFill="1" applyBorder="1" applyAlignment="1" applyProtection="1">
      <alignment horizontal="center" vertical="center"/>
      <protection locked="0"/>
    </xf>
    <xf numFmtId="49" fontId="117" fillId="8" borderId="125" xfId="0" applyNumberFormat="1" applyFont="1" applyFill="1" applyBorder="1" applyAlignment="1" applyProtection="1">
      <alignment horizontal="center" vertical="center"/>
      <protection locked="0"/>
    </xf>
    <xf numFmtId="49" fontId="68" fillId="8" borderId="67" xfId="1" applyNumberFormat="1" applyFill="1" applyBorder="1" applyAlignment="1" applyProtection="1">
      <alignment horizontal="center"/>
      <protection locked="0"/>
    </xf>
    <xf numFmtId="0" fontId="1" fillId="17" borderId="11" xfId="0" applyNumberFormat="1" applyFont="1" applyFill="1" applyBorder="1" applyAlignment="1" applyProtection="1">
      <alignment horizontal="center" vertical="center"/>
      <protection hidden="1"/>
    </xf>
    <xf numFmtId="0" fontId="5" fillId="17" borderId="12" xfId="0" applyNumberFormat="1" applyFont="1" applyFill="1" applyBorder="1" applyAlignment="1" applyProtection="1">
      <alignment horizontal="center" vertical="center"/>
      <protection hidden="1"/>
    </xf>
    <xf numFmtId="49" fontId="118" fillId="8" borderId="67" xfId="1" applyNumberFormat="1" applyFont="1" applyFill="1" applyBorder="1" applyAlignment="1" applyProtection="1">
      <alignment horizontal="center"/>
      <protection locked="0"/>
    </xf>
    <xf numFmtId="49" fontId="117" fillId="10" borderId="67" xfId="0" applyNumberFormat="1" applyFont="1" applyFill="1" applyBorder="1" applyAlignment="1" applyProtection="1">
      <alignment horizontal="center"/>
      <protection locked="0"/>
    </xf>
    <xf numFmtId="49" fontId="117" fillId="10" borderId="76" xfId="0" applyNumberFormat="1" applyFont="1" applyFill="1" applyBorder="1" applyAlignment="1" applyProtection="1">
      <alignment horizontal="center"/>
      <protection locked="0"/>
    </xf>
    <xf numFmtId="0" fontId="117" fillId="8" borderId="67" xfId="0" applyFont="1" applyFill="1" applyBorder="1" applyAlignment="1" applyProtection="1">
      <alignment horizontal="center"/>
      <protection hidden="1"/>
    </xf>
    <xf numFmtId="0" fontId="117" fillId="8" borderId="76" xfId="0" applyFont="1" applyFill="1" applyBorder="1" applyAlignment="1" applyProtection="1">
      <alignment horizontal="center"/>
      <protection hidden="1"/>
    </xf>
    <xf numFmtId="0" fontId="117" fillId="16" borderId="67" xfId="0" applyFont="1" applyFill="1" applyBorder="1" applyAlignment="1" applyProtection="1">
      <alignment horizontal="center"/>
      <protection locked="0"/>
    </xf>
    <xf numFmtId="0" fontId="117" fillId="16" borderId="76" xfId="0" applyFont="1" applyFill="1" applyBorder="1" applyAlignment="1" applyProtection="1">
      <alignment horizontal="center"/>
      <protection locked="0"/>
    </xf>
    <xf numFmtId="0" fontId="158" fillId="8" borderId="0" xfId="0" applyFont="1" applyFill="1" applyAlignment="1" applyProtection="1">
      <alignment horizontal="center"/>
      <protection hidden="1"/>
    </xf>
    <xf numFmtId="0" fontId="114" fillId="8" borderId="0" xfId="0" applyFont="1" applyFill="1" applyAlignment="1" applyProtection="1">
      <alignment horizontal="center" vertical="top"/>
      <protection hidden="1"/>
    </xf>
    <xf numFmtId="0" fontId="114" fillId="8" borderId="0" xfId="0" applyFont="1" applyFill="1" applyAlignment="1" applyProtection="1">
      <alignment horizontal="left" vertical="top" wrapText="1"/>
      <protection hidden="1"/>
    </xf>
    <xf numFmtId="0" fontId="0" fillId="8" borderId="0" xfId="0" applyFill="1" applyAlignment="1" applyProtection="1">
      <alignment horizontal="left" vertical="center" wrapText="1"/>
      <protection hidden="1"/>
    </xf>
    <xf numFmtId="0" fontId="117" fillId="10" borderId="67" xfId="0" applyFont="1" applyFill="1" applyBorder="1" applyAlignment="1" applyProtection="1">
      <alignment horizontal="center"/>
      <protection locked="0"/>
    </xf>
    <xf numFmtId="0" fontId="117" fillId="10" borderId="76" xfId="0" applyFont="1" applyFill="1" applyBorder="1" applyAlignment="1" applyProtection="1">
      <alignment horizontal="center"/>
      <protection locked="0"/>
    </xf>
    <xf numFmtId="0" fontId="117" fillId="10" borderId="78" xfId="0" applyFont="1" applyFill="1" applyBorder="1" applyAlignment="1" applyProtection="1">
      <alignment horizontal="center"/>
      <protection locked="0"/>
    </xf>
    <xf numFmtId="0" fontId="68" fillId="0" borderId="67" xfId="1" applyFill="1" applyBorder="1" applyAlignment="1" applyProtection="1">
      <alignment horizontal="center"/>
      <protection locked="0"/>
    </xf>
    <xf numFmtId="0" fontId="117" fillId="0" borderId="76" xfId="0" applyFont="1" applyFill="1" applyBorder="1" applyAlignment="1" applyProtection="1">
      <alignment horizontal="center"/>
      <protection locked="0"/>
    </xf>
    <xf numFmtId="49" fontId="117" fillId="8" borderId="67" xfId="0" applyNumberFormat="1" applyFont="1" applyFill="1" applyBorder="1" applyAlignment="1" applyProtection="1">
      <alignment horizontal="center"/>
      <protection locked="0"/>
    </xf>
    <xf numFmtId="49" fontId="117" fillId="8" borderId="76" xfId="0" applyNumberFormat="1" applyFont="1" applyFill="1" applyBorder="1" applyAlignment="1" applyProtection="1">
      <alignment horizontal="center"/>
      <protection locked="0"/>
    </xf>
    <xf numFmtId="0" fontId="117" fillId="8" borderId="78" xfId="0" applyFont="1" applyFill="1" applyBorder="1" applyAlignment="1" applyProtection="1">
      <alignment horizontal="center"/>
      <protection locked="0"/>
    </xf>
    <xf numFmtId="49" fontId="112" fillId="0" borderId="66" xfId="3" applyNumberFormat="1" applyFont="1" applyFill="1" applyBorder="1" applyAlignment="1" applyProtection="1">
      <alignment horizontal="center"/>
      <protection hidden="1"/>
    </xf>
    <xf numFmtId="0" fontId="131" fillId="8" borderId="97" xfId="0" applyFont="1" applyFill="1" applyBorder="1" applyAlignment="1">
      <alignment horizontal="left" vertical="top" wrapText="1"/>
    </xf>
    <xf numFmtId="0" fontId="131" fillId="8" borderId="0" xfId="6" applyFont="1" applyFill="1" applyBorder="1" applyAlignment="1">
      <alignment horizontal="left" vertical="center" wrapText="1"/>
    </xf>
    <xf numFmtId="0" fontId="129" fillId="8" borderId="100" xfId="0" applyFont="1" applyFill="1" applyBorder="1" applyAlignment="1">
      <alignment horizontal="center" vertical="center"/>
    </xf>
    <xf numFmtId="0" fontId="122" fillId="8" borderId="106" xfId="0" applyFont="1" applyFill="1" applyBorder="1" applyAlignment="1">
      <alignment horizontal="center" vertical="center"/>
    </xf>
    <xf numFmtId="0" fontId="122" fillId="8" borderId="104" xfId="0" applyFont="1" applyFill="1" applyBorder="1" applyAlignment="1">
      <alignment horizontal="center" vertical="center"/>
    </xf>
    <xf numFmtId="0" fontId="122" fillId="8" borderId="106" xfId="0" applyFont="1" applyFill="1" applyBorder="1" applyAlignment="1">
      <alignment horizontal="left" vertical="center" wrapText="1"/>
    </xf>
    <xf numFmtId="0" fontId="122" fillId="8" borderId="104" xfId="0" applyFont="1" applyFill="1" applyBorder="1" applyAlignment="1">
      <alignment horizontal="left" vertical="center" wrapText="1"/>
    </xf>
    <xf numFmtId="0" fontId="129" fillId="8" borderId="104" xfId="0" applyFont="1" applyFill="1" applyBorder="1" applyAlignment="1">
      <alignment horizontal="center" vertical="center" wrapText="1"/>
    </xf>
    <xf numFmtId="0" fontId="129" fillId="8" borderId="105" xfId="0" applyFont="1" applyFill="1" applyBorder="1" applyAlignment="1">
      <alignment horizontal="center" vertical="center" wrapText="1"/>
    </xf>
    <xf numFmtId="0" fontId="122" fillId="8" borderId="106" xfId="0" applyFont="1" applyFill="1" applyBorder="1" applyAlignment="1">
      <alignment horizontal="center" vertical="center" wrapText="1"/>
    </xf>
    <xf numFmtId="0" fontId="122" fillId="8" borderId="104" xfId="0" applyFont="1" applyFill="1" applyBorder="1" applyAlignment="1">
      <alignment horizontal="center" vertical="center" wrapText="1"/>
    </xf>
    <xf numFmtId="0" fontId="122" fillId="8" borderId="105" xfId="0" applyFont="1" applyFill="1" applyBorder="1" applyAlignment="1">
      <alignment horizontal="center" vertical="center" wrapText="1"/>
    </xf>
    <xf numFmtId="0" fontId="129" fillId="8" borderId="100" xfId="0" applyFont="1" applyFill="1" applyBorder="1" applyAlignment="1">
      <alignment horizontal="center" vertical="center" wrapText="1"/>
    </xf>
    <xf numFmtId="0" fontId="129" fillId="8" borderId="101" xfId="0" applyFont="1" applyFill="1" applyBorder="1" applyAlignment="1">
      <alignment horizontal="center" vertical="center" wrapText="1"/>
    </xf>
    <xf numFmtId="0" fontId="129" fillId="8" borderId="109" xfId="0" applyFont="1" applyFill="1" applyBorder="1" applyAlignment="1">
      <alignment horizontal="center" vertical="center" wrapText="1"/>
    </xf>
    <xf numFmtId="0" fontId="129" fillId="8" borderId="101" xfId="0" applyFont="1" applyFill="1" applyBorder="1" applyAlignment="1">
      <alignment horizontal="center" vertical="center"/>
    </xf>
    <xf numFmtId="0" fontId="130" fillId="8" borderId="104" xfId="0" applyFont="1" applyFill="1" applyBorder="1" applyAlignment="1">
      <alignment horizontal="left" vertical="top" wrapText="1"/>
    </xf>
    <xf numFmtId="49" fontId="129" fillId="8" borderId="104" xfId="0" applyNumberFormat="1" applyFont="1" applyFill="1" applyBorder="1" applyAlignment="1">
      <alignment horizontal="center" vertical="center" wrapText="1"/>
    </xf>
    <xf numFmtId="0" fontId="129" fillId="8" borderId="106" xfId="0" applyFont="1" applyFill="1" applyBorder="1" applyAlignment="1">
      <alignment horizontal="center" vertical="center"/>
    </xf>
    <xf numFmtId="0" fontId="129" fillId="8" borderId="105" xfId="0" applyFont="1" applyFill="1" applyBorder="1" applyAlignment="1">
      <alignment horizontal="center" vertical="center"/>
    </xf>
    <xf numFmtId="0" fontId="129" fillId="8" borderId="0" xfId="0" applyFont="1" applyFill="1" applyBorder="1" applyAlignment="1">
      <alignment horizontal="center" vertical="center" wrapText="1"/>
    </xf>
    <xf numFmtId="0" fontId="129" fillId="8" borderId="0" xfId="0" applyFont="1" applyFill="1" applyBorder="1" applyAlignment="1">
      <alignment horizontal="left" vertical="center"/>
    </xf>
    <xf numFmtId="0" fontId="129" fillId="8" borderId="104" xfId="0" applyFont="1" applyFill="1" applyBorder="1" applyAlignment="1">
      <alignment horizontal="center" vertical="center"/>
    </xf>
    <xf numFmtId="0" fontId="129" fillId="8" borderId="0" xfId="0" applyFont="1" applyFill="1" applyBorder="1" applyAlignment="1">
      <alignment horizontal="center" wrapText="1"/>
    </xf>
    <xf numFmtId="4" fontId="129" fillId="8" borderId="106" xfId="0" applyNumberFormat="1" applyFont="1" applyFill="1" applyBorder="1" applyAlignment="1">
      <alignment horizontal="center" wrapText="1"/>
    </xf>
    <xf numFmtId="4" fontId="129" fillId="8" borderId="104" xfId="0" applyNumberFormat="1" applyFont="1" applyFill="1" applyBorder="1" applyAlignment="1">
      <alignment horizontal="center" wrapText="1"/>
    </xf>
    <xf numFmtId="4" fontId="129" fillId="8" borderId="105" xfId="0" applyNumberFormat="1" applyFont="1" applyFill="1" applyBorder="1" applyAlignment="1">
      <alignment horizontal="center" wrapText="1"/>
    </xf>
    <xf numFmtId="3" fontId="129" fillId="8" borderId="106" xfId="0" applyNumberFormat="1" applyFont="1" applyFill="1" applyBorder="1" applyAlignment="1">
      <alignment horizontal="center" wrapText="1"/>
    </xf>
    <xf numFmtId="3" fontId="129" fillId="8" borderId="104" xfId="0" applyNumberFormat="1" applyFont="1" applyFill="1" applyBorder="1" applyAlignment="1">
      <alignment horizontal="center" wrapText="1"/>
    </xf>
    <xf numFmtId="3" fontId="129" fillId="8" borderId="105" xfId="0" applyNumberFormat="1" applyFont="1" applyFill="1" applyBorder="1" applyAlignment="1">
      <alignment horizontal="center" wrapText="1"/>
    </xf>
    <xf numFmtId="0" fontId="124" fillId="8" borderId="0" xfId="0" applyFont="1" applyFill="1" applyAlignment="1">
      <alignment horizontal="left"/>
    </xf>
    <xf numFmtId="0" fontId="129" fillId="8" borderId="0" xfId="0" applyFont="1" applyFill="1" applyBorder="1" applyAlignment="1">
      <alignment horizontal="left" vertical="center" wrapText="1"/>
    </xf>
    <xf numFmtId="4" fontId="129" fillId="8" borderId="112" xfId="0" applyNumberFormat="1" applyFont="1" applyFill="1" applyBorder="1" applyAlignment="1">
      <alignment horizontal="center" wrapText="1"/>
    </xf>
    <xf numFmtId="4" fontId="129" fillId="8" borderId="113" xfId="0" applyNumberFormat="1" applyFont="1" applyFill="1" applyBorder="1" applyAlignment="1">
      <alignment horizontal="center" wrapText="1"/>
    </xf>
    <xf numFmtId="4" fontId="129" fillId="8" borderId="114" xfId="0" applyNumberFormat="1" applyFont="1" applyFill="1" applyBorder="1" applyAlignment="1">
      <alignment horizontal="center" wrapText="1"/>
    </xf>
    <xf numFmtId="0" fontId="147" fillId="8" borderId="97" xfId="0" applyFont="1" applyFill="1" applyBorder="1" applyAlignment="1">
      <alignment horizontal="left" vertical="center" wrapText="1"/>
    </xf>
    <xf numFmtId="3" fontId="129" fillId="8" borderId="106" xfId="0" applyNumberFormat="1" applyFont="1" applyFill="1" applyBorder="1" applyAlignment="1">
      <alignment horizontal="center"/>
    </xf>
    <xf numFmtId="3" fontId="129" fillId="8" borderId="104" xfId="0" applyNumberFormat="1" applyFont="1" applyFill="1" applyBorder="1" applyAlignment="1">
      <alignment horizontal="center"/>
    </xf>
    <xf numFmtId="3" fontId="129" fillId="8" borderId="105" xfId="0" applyNumberFormat="1" applyFont="1" applyFill="1" applyBorder="1" applyAlignment="1">
      <alignment horizontal="center"/>
    </xf>
    <xf numFmtId="4" fontId="129" fillId="8" borderId="112" xfId="0" applyNumberFormat="1" applyFont="1" applyFill="1" applyBorder="1" applyAlignment="1">
      <alignment horizontal="center" vertical="center" wrapText="1"/>
    </xf>
    <xf numFmtId="4" fontId="129" fillId="8" borderId="113" xfId="0" applyNumberFormat="1" applyFont="1" applyFill="1" applyBorder="1" applyAlignment="1">
      <alignment horizontal="center" vertical="center" wrapText="1"/>
    </xf>
    <xf numFmtId="4" fontId="129" fillId="8" borderId="114" xfId="0" applyNumberFormat="1" applyFont="1" applyFill="1" applyBorder="1" applyAlignment="1">
      <alignment horizontal="center" vertical="center" wrapText="1"/>
    </xf>
    <xf numFmtId="0" fontId="122" fillId="8" borderId="97" xfId="0" applyFont="1" applyFill="1" applyBorder="1" applyAlignment="1" applyProtection="1">
      <alignment horizontal="left" vertical="center" wrapText="1"/>
      <protection locked="0"/>
    </xf>
    <xf numFmtId="0" fontId="122" fillId="8" borderId="117" xfId="0" applyFont="1" applyFill="1" applyBorder="1" applyAlignment="1" applyProtection="1">
      <alignment horizontal="center" vertical="center" wrapText="1"/>
      <protection locked="0"/>
    </xf>
    <xf numFmtId="0" fontId="122" fillId="8" borderId="0" xfId="0" applyFont="1" applyFill="1" applyBorder="1" applyAlignment="1" applyProtection="1">
      <alignment horizontal="center" vertical="center" wrapText="1"/>
      <protection locked="0"/>
    </xf>
    <xf numFmtId="0" fontId="122" fillId="8" borderId="129" xfId="0" applyFont="1" applyFill="1" applyBorder="1" applyAlignment="1" applyProtection="1">
      <alignment horizontal="center" vertical="center" wrapText="1"/>
      <protection locked="0"/>
    </xf>
    <xf numFmtId="0" fontId="122" fillId="8" borderId="119" xfId="0" applyFont="1" applyFill="1" applyBorder="1" applyAlignment="1" applyProtection="1">
      <alignment horizontal="center" vertical="center" wrapText="1"/>
      <protection locked="0"/>
    </xf>
    <xf numFmtId="0" fontId="122" fillId="8" borderId="128" xfId="0" applyFont="1" applyFill="1" applyBorder="1" applyAlignment="1" applyProtection="1">
      <alignment horizontal="center" vertical="center"/>
      <protection locked="0"/>
    </xf>
    <xf numFmtId="0" fontId="122" fillId="8" borderId="123" xfId="0" applyFont="1" applyFill="1" applyBorder="1" applyAlignment="1" applyProtection="1">
      <alignment horizontal="center" vertical="center"/>
      <protection locked="0"/>
    </xf>
    <xf numFmtId="0" fontId="122" fillId="8" borderId="129" xfId="0" applyFont="1" applyFill="1" applyBorder="1" applyAlignment="1" applyProtection="1">
      <alignment horizontal="center" vertical="center"/>
      <protection locked="0"/>
    </xf>
    <xf numFmtId="0" fontId="122" fillId="8" borderId="119" xfId="0" applyFont="1" applyFill="1" applyBorder="1" applyAlignment="1" applyProtection="1">
      <alignment horizontal="center" vertical="center"/>
      <protection locked="0"/>
    </xf>
    <xf numFmtId="0" fontId="129" fillId="8" borderId="94" xfId="0" applyFont="1" applyFill="1" applyBorder="1" applyAlignment="1" applyProtection="1">
      <alignment horizontal="center" vertical="center"/>
      <protection hidden="1"/>
    </xf>
    <xf numFmtId="0" fontId="129" fillId="8" borderId="0" xfId="0" applyFont="1" applyFill="1" applyBorder="1" applyAlignment="1" applyProtection="1">
      <alignment horizontal="center" vertical="center"/>
      <protection hidden="1"/>
    </xf>
    <xf numFmtId="0" fontId="129" fillId="8" borderId="106" xfId="0" applyFont="1" applyFill="1" applyBorder="1" applyAlignment="1">
      <alignment horizontal="center" vertical="center" wrapText="1"/>
    </xf>
    <xf numFmtId="0" fontId="129" fillId="8" borderId="127" xfId="0" applyFont="1" applyFill="1" applyBorder="1" applyAlignment="1" applyProtection="1">
      <alignment horizontal="center" vertical="center"/>
      <protection hidden="1"/>
    </xf>
    <xf numFmtId="0" fontId="129" fillId="8" borderId="123" xfId="0" applyFont="1" applyFill="1" applyBorder="1" applyAlignment="1" applyProtection="1">
      <alignment horizontal="center" vertical="center"/>
      <protection hidden="1"/>
    </xf>
    <xf numFmtId="49" fontId="122" fillId="8" borderId="117" xfId="0" applyNumberFormat="1" applyFont="1" applyFill="1" applyBorder="1" applyAlignment="1" applyProtection="1">
      <alignment horizontal="left" vertical="top"/>
      <protection locked="0"/>
    </xf>
    <xf numFmtId="49" fontId="122" fillId="8" borderId="0" xfId="0" applyNumberFormat="1" applyFont="1" applyFill="1" applyBorder="1" applyAlignment="1" applyProtection="1">
      <alignment horizontal="left" vertical="top"/>
      <protection locked="0"/>
    </xf>
    <xf numFmtId="49" fontId="122" fillId="8" borderId="106" xfId="0" applyNumberFormat="1" applyFont="1" applyFill="1" applyBorder="1" applyAlignment="1" applyProtection="1">
      <alignment horizontal="center" vertical="center" wrapText="1"/>
      <protection locked="0"/>
    </xf>
    <xf numFmtId="49" fontId="122" fillId="8" borderId="104" xfId="0" applyNumberFormat="1" applyFont="1" applyFill="1" applyBorder="1" applyAlignment="1" applyProtection="1">
      <alignment horizontal="center" vertical="center" wrapText="1"/>
      <protection locked="0"/>
    </xf>
    <xf numFmtId="49" fontId="122" fillId="8" borderId="105" xfId="0" applyNumberFormat="1" applyFont="1" applyFill="1" applyBorder="1" applyAlignment="1" applyProtection="1">
      <alignment horizontal="center" vertical="center" wrapText="1"/>
      <protection locked="0"/>
    </xf>
    <xf numFmtId="0" fontId="129" fillId="8" borderId="123" xfId="0" applyFont="1" applyFill="1" applyBorder="1" applyAlignment="1" applyProtection="1">
      <alignment horizontal="left" vertical="center"/>
      <protection hidden="1"/>
    </xf>
    <xf numFmtId="0" fontId="122" fillId="8" borderId="106" xfId="0" applyFont="1" applyFill="1" applyBorder="1" applyAlignment="1">
      <alignment horizontal="left" vertical="center"/>
    </xf>
    <xf numFmtId="0" fontId="122" fillId="8" borderId="104" xfId="0" applyFont="1" applyFill="1" applyBorder="1" applyAlignment="1">
      <alignment horizontal="left" vertical="center"/>
    </xf>
    <xf numFmtId="0" fontId="122" fillId="8" borderId="105" xfId="0" applyFont="1" applyFill="1" applyBorder="1" applyAlignment="1">
      <alignment horizontal="left" vertical="center"/>
    </xf>
    <xf numFmtId="0" fontId="122" fillId="8" borderId="106" xfId="0" applyFont="1" applyFill="1" applyBorder="1" applyAlignment="1">
      <alignment horizontal="center"/>
    </xf>
    <xf numFmtId="0" fontId="122" fillId="8" borderId="105" xfId="0" applyFont="1" applyFill="1" applyBorder="1" applyAlignment="1">
      <alignment horizontal="center"/>
    </xf>
    <xf numFmtId="0" fontId="143" fillId="8" borderId="0" xfId="0" applyFont="1" applyFill="1" applyAlignment="1" applyProtection="1">
      <alignment horizontal="center" vertical="center"/>
      <protection hidden="1"/>
    </xf>
    <xf numFmtId="0" fontId="130" fillId="8" borderId="0" xfId="0" applyFont="1" applyFill="1" applyBorder="1" applyAlignment="1">
      <alignment horizontal="left" vertical="top" wrapText="1"/>
    </xf>
    <xf numFmtId="49" fontId="138" fillId="8" borderId="0" xfId="0" applyNumberFormat="1" applyFont="1" applyFill="1" applyBorder="1" applyAlignment="1">
      <alignment horizontal="center"/>
    </xf>
    <xf numFmtId="0" fontId="130" fillId="8" borderId="119" xfId="0" applyFont="1" applyFill="1" applyBorder="1" applyAlignment="1">
      <alignment horizontal="left" wrapText="1"/>
    </xf>
    <xf numFmtId="0" fontId="130" fillId="8" borderId="109" xfId="0" applyFont="1" applyFill="1" applyBorder="1" applyAlignment="1" applyProtection="1">
      <alignment horizontal="left" vertical="center" wrapText="1"/>
      <protection hidden="1"/>
    </xf>
    <xf numFmtId="0" fontId="129" fillId="8" borderId="91" xfId="0" applyFont="1" applyFill="1" applyBorder="1" applyAlignment="1" applyProtection="1">
      <alignment horizontal="right" vertical="center"/>
      <protection hidden="1"/>
    </xf>
    <xf numFmtId="0" fontId="129" fillId="8" borderId="92" xfId="0" applyFont="1" applyFill="1" applyBorder="1" applyAlignment="1" applyProtection="1">
      <alignment horizontal="right" vertical="center"/>
      <protection hidden="1"/>
    </xf>
    <xf numFmtId="49" fontId="133" fillId="8" borderId="119" xfId="0" applyNumberFormat="1" applyFont="1" applyFill="1" applyBorder="1" applyAlignment="1" applyProtection="1">
      <alignment horizontal="left" vertical="top" wrapText="1"/>
      <protection locked="0"/>
    </xf>
    <xf numFmtId="0" fontId="129" fillId="8" borderId="92" xfId="0" applyFont="1" applyFill="1" applyBorder="1" applyAlignment="1" applyProtection="1">
      <alignment horizontal="left" vertical="center"/>
      <protection hidden="1"/>
    </xf>
    <xf numFmtId="0" fontId="122" fillId="8" borderId="106" xfId="0" applyFont="1" applyFill="1" applyBorder="1" applyAlignment="1" applyProtection="1">
      <alignment horizontal="center" vertical="center"/>
      <protection locked="0"/>
    </xf>
    <xf numFmtId="0" fontId="122" fillId="8" borderId="104" xfId="0" applyFont="1" applyFill="1" applyBorder="1" applyAlignment="1" applyProtection="1">
      <alignment horizontal="center" vertical="center"/>
      <protection locked="0"/>
    </xf>
    <xf numFmtId="0" fontId="122" fillId="8" borderId="105" xfId="0" applyFont="1" applyFill="1" applyBorder="1" applyAlignment="1" applyProtection="1">
      <alignment horizontal="center" vertical="center"/>
      <protection locked="0"/>
    </xf>
    <xf numFmtId="0" fontId="184" fillId="8" borderId="0" xfId="0" applyFont="1" applyFill="1" applyBorder="1" applyAlignment="1" applyProtection="1">
      <alignment horizontal="justify" vertical="top" wrapText="1"/>
      <protection hidden="1"/>
    </xf>
    <xf numFmtId="0" fontId="183" fillId="8" borderId="0" xfId="0" applyFont="1" applyFill="1" applyBorder="1" applyAlignment="1" applyProtection="1">
      <alignment horizontal="justify" vertical="top" wrapText="1"/>
      <protection hidden="1"/>
    </xf>
    <xf numFmtId="0" fontId="183" fillId="8" borderId="92" xfId="0" applyFont="1" applyFill="1" applyBorder="1" applyAlignment="1" applyProtection="1">
      <alignment horizontal="justify" vertical="top" wrapText="1"/>
      <protection hidden="1"/>
    </xf>
    <xf numFmtId="0" fontId="183" fillId="8" borderId="97" xfId="0" applyFont="1" applyFill="1" applyBorder="1" applyAlignment="1" applyProtection="1">
      <alignment horizontal="justify" vertical="top" wrapText="1"/>
      <protection hidden="1"/>
    </xf>
    <xf numFmtId="49" fontId="188" fillId="8" borderId="96" xfId="0" applyNumberFormat="1" applyFont="1" applyFill="1" applyBorder="1" applyAlignment="1">
      <alignment horizontal="center" vertical="top"/>
    </xf>
    <xf numFmtId="49" fontId="188" fillId="8" borderId="97" xfId="0" applyNumberFormat="1" applyFont="1" applyFill="1" applyBorder="1" applyAlignment="1">
      <alignment horizontal="center" vertical="top"/>
    </xf>
    <xf numFmtId="0" fontId="183" fillId="8" borderId="97" xfId="0" applyFont="1" applyFill="1" applyBorder="1" applyAlignment="1">
      <alignment horizontal="left" vertical="top" wrapText="1"/>
    </xf>
    <xf numFmtId="0" fontId="183" fillId="8" borderId="113" xfId="0" applyFont="1" applyFill="1" applyBorder="1" applyAlignment="1" applyProtection="1">
      <alignment horizontal="justify" vertical="top" wrapText="1"/>
      <protection hidden="1"/>
    </xf>
    <xf numFmtId="49" fontId="188" fillId="8" borderId="94" xfId="0" applyNumberFormat="1" applyFont="1" applyFill="1" applyBorder="1" applyAlignment="1" applyProtection="1">
      <alignment horizontal="center" vertical="top"/>
      <protection hidden="1"/>
    </xf>
    <xf numFmtId="49" fontId="188" fillId="8" borderId="0" xfId="0" applyNumberFormat="1" applyFont="1" applyFill="1" applyBorder="1" applyAlignment="1" applyProtection="1">
      <alignment horizontal="center" vertical="top"/>
      <protection hidden="1"/>
    </xf>
    <xf numFmtId="0" fontId="183" fillId="8" borderId="0" xfId="0" applyFont="1" applyFill="1" applyBorder="1" applyAlignment="1" applyProtection="1">
      <alignment horizontal="left" vertical="top" wrapText="1"/>
      <protection hidden="1"/>
    </xf>
    <xf numFmtId="0" fontId="129" fillId="8" borderId="91" xfId="0" applyFont="1" applyFill="1" applyBorder="1" applyAlignment="1">
      <alignment horizontal="center" vertical="center"/>
    </xf>
    <xf numFmtId="0" fontId="129" fillId="8" borderId="92" xfId="0" applyFont="1" applyFill="1" applyBorder="1" applyAlignment="1">
      <alignment horizontal="center" vertical="center"/>
    </xf>
    <xf numFmtId="0" fontId="129" fillId="8" borderId="127" xfId="0" applyFont="1" applyFill="1" applyBorder="1" applyAlignment="1">
      <alignment horizontal="center" vertical="center"/>
    </xf>
    <xf numFmtId="0" fontId="129" fillId="8" borderId="123" xfId="0" applyFont="1" applyFill="1" applyBorder="1" applyAlignment="1">
      <alignment horizontal="center" vertical="center"/>
    </xf>
    <xf numFmtId="0" fontId="122" fillId="8" borderId="106" xfId="0" applyFont="1" applyFill="1" applyBorder="1" applyAlignment="1" applyProtection="1">
      <alignment horizontal="left" vertical="center"/>
      <protection locked="0"/>
    </xf>
    <xf numFmtId="0" fontId="122" fillId="8" borderId="104" xfId="0" applyFont="1" applyFill="1" applyBorder="1" applyAlignment="1" applyProtection="1">
      <alignment horizontal="left" vertical="center"/>
      <protection locked="0"/>
    </xf>
    <xf numFmtId="0" fontId="122" fillId="8" borderId="105" xfId="0" applyFont="1" applyFill="1" applyBorder="1" applyAlignment="1" applyProtection="1">
      <alignment horizontal="left" vertical="center"/>
      <protection locked="0"/>
    </xf>
    <xf numFmtId="0" fontId="122" fillId="8" borderId="106" xfId="0" applyFont="1" applyFill="1" applyBorder="1" applyAlignment="1" applyProtection="1">
      <alignment horizontal="center" vertical="center" wrapText="1"/>
      <protection locked="0"/>
    </xf>
    <xf numFmtId="0" fontId="122" fillId="8" borderId="104" xfId="0" applyFont="1" applyFill="1" applyBorder="1" applyAlignment="1" applyProtection="1">
      <alignment horizontal="center" vertical="center" wrapText="1"/>
      <protection locked="0"/>
    </xf>
    <xf numFmtId="0" fontId="122" fillId="8" borderId="105" xfId="0" applyFont="1" applyFill="1" applyBorder="1" applyAlignment="1" applyProtection="1">
      <alignment horizontal="center" vertical="center" wrapText="1"/>
      <protection locked="0"/>
    </xf>
    <xf numFmtId="0" fontId="129" fillId="8" borderId="92" xfId="0" applyFont="1" applyFill="1" applyBorder="1" applyAlignment="1">
      <alignment horizontal="left" vertical="center"/>
    </xf>
    <xf numFmtId="0" fontId="129" fillId="8" borderId="123" xfId="0" applyFont="1" applyFill="1" applyBorder="1" applyAlignment="1">
      <alignment horizontal="left" vertical="center"/>
    </xf>
    <xf numFmtId="0" fontId="130" fillId="8" borderId="123" xfId="0" applyFont="1" applyFill="1" applyBorder="1" applyAlignment="1">
      <alignment horizontal="justify" wrapText="1"/>
    </xf>
    <xf numFmtId="0" fontId="130" fillId="8" borderId="0" xfId="0" applyFont="1" applyFill="1" applyBorder="1" applyAlignment="1">
      <alignment horizontal="justify" vertical="top" wrapText="1"/>
    </xf>
    <xf numFmtId="0" fontId="130" fillId="8" borderId="94" xfId="0" applyFont="1" applyFill="1" applyBorder="1" applyAlignment="1" applyProtection="1">
      <alignment horizontal="right" vertical="top"/>
      <protection hidden="1"/>
    </xf>
    <xf numFmtId="0" fontId="129" fillId="8" borderId="0" xfId="0" applyFont="1" applyFill="1" applyBorder="1" applyAlignment="1" applyProtection="1">
      <alignment horizontal="right" vertical="top"/>
      <protection hidden="1"/>
    </xf>
    <xf numFmtId="0" fontId="131" fillId="8" borderId="0" xfId="0" applyFont="1" applyFill="1" applyBorder="1" applyAlignment="1" applyProtection="1">
      <alignment horizontal="justify" vertical="top" wrapText="1"/>
      <protection hidden="1"/>
    </xf>
    <xf numFmtId="0" fontId="130" fillId="8" borderId="0" xfId="0" applyFont="1" applyFill="1" applyBorder="1" applyAlignment="1" applyProtection="1">
      <alignment horizontal="justify" vertical="top" wrapText="1"/>
      <protection hidden="1"/>
    </xf>
    <xf numFmtId="14" fontId="122" fillId="22" borderId="146" xfId="0" applyNumberFormat="1" applyFont="1" applyFill="1" applyBorder="1" applyAlignment="1" applyProtection="1">
      <alignment horizontal="center"/>
      <protection locked="0"/>
    </xf>
    <xf numFmtId="14" fontId="122" fillId="23" borderId="132" xfId="0" applyNumberFormat="1" applyFont="1" applyFill="1" applyBorder="1" applyAlignment="1" applyProtection="1">
      <alignment horizontal="center"/>
      <protection locked="0"/>
    </xf>
    <xf numFmtId="0" fontId="122" fillId="23" borderId="132" xfId="0" applyFont="1" applyFill="1" applyBorder="1" applyAlignment="1" applyProtection="1">
      <alignment horizontal="center"/>
      <protection locked="0"/>
    </xf>
    <xf numFmtId="0" fontId="129" fillId="8" borderId="131" xfId="0" applyFont="1" applyFill="1" applyBorder="1" applyAlignment="1">
      <alignment horizontal="center" vertical="top" wrapText="1"/>
    </xf>
    <xf numFmtId="0" fontId="129" fillId="8" borderId="0" xfId="0" applyFont="1" applyFill="1" applyBorder="1" applyAlignment="1">
      <alignment horizontal="center" vertical="top" wrapText="1"/>
    </xf>
    <xf numFmtId="0" fontId="129" fillId="8" borderId="0" xfId="0" applyFont="1" applyFill="1" applyBorder="1" applyAlignment="1">
      <alignment horizontal="center" vertical="top"/>
    </xf>
    <xf numFmtId="49" fontId="129" fillId="8" borderId="94" xfId="0" applyNumberFormat="1" applyFont="1" applyFill="1" applyBorder="1" applyAlignment="1" applyProtection="1">
      <alignment horizontal="center" vertical="top"/>
      <protection hidden="1"/>
    </xf>
    <xf numFmtId="49" fontId="129" fillId="8" borderId="0" xfId="0" applyNumberFormat="1" applyFont="1" applyFill="1" applyBorder="1" applyAlignment="1" applyProtection="1">
      <alignment horizontal="center" vertical="top"/>
      <protection hidden="1"/>
    </xf>
    <xf numFmtId="49" fontId="129" fillId="8" borderId="96" xfId="0" applyNumberFormat="1" applyFont="1" applyFill="1" applyBorder="1" applyAlignment="1" applyProtection="1">
      <alignment horizontal="center" vertical="top"/>
      <protection hidden="1"/>
    </xf>
    <xf numFmtId="49" fontId="129" fillId="8" borderId="97" xfId="0" applyNumberFormat="1" applyFont="1" applyFill="1" applyBorder="1" applyAlignment="1" applyProtection="1">
      <alignment horizontal="center" vertical="top"/>
      <protection hidden="1"/>
    </xf>
    <xf numFmtId="0" fontId="130" fillId="8" borderId="97" xfId="0" applyFont="1" applyFill="1" applyBorder="1" applyAlignment="1" applyProtection="1">
      <alignment horizontal="justify" vertical="top" wrapText="1"/>
      <protection hidden="1"/>
    </xf>
    <xf numFmtId="0" fontId="141" fillId="8" borderId="0" xfId="0" applyFont="1" applyFill="1" applyAlignment="1" applyProtection="1">
      <alignment horizontal="center" vertical="center" wrapText="1"/>
      <protection hidden="1"/>
    </xf>
    <xf numFmtId="14" fontId="122" fillId="8" borderId="0" xfId="0" applyNumberFormat="1" applyFont="1" applyFill="1" applyBorder="1" applyAlignment="1" applyProtection="1">
      <alignment horizontal="center" vertical="top" wrapText="1"/>
      <protection locked="0"/>
    </xf>
    <xf numFmtId="0" fontId="122" fillId="8" borderId="0" xfId="0" applyFont="1" applyFill="1" applyBorder="1" applyAlignment="1" applyProtection="1">
      <alignment horizontal="center" vertical="top" wrapText="1"/>
      <protection hidden="1"/>
    </xf>
    <xf numFmtId="49" fontId="122" fillId="8" borderId="0" xfId="0" applyNumberFormat="1" applyFont="1" applyFill="1" applyBorder="1" applyAlignment="1" applyProtection="1">
      <alignment horizontal="center"/>
      <protection locked="0"/>
    </xf>
    <xf numFmtId="0" fontId="122" fillId="8" borderId="0" xfId="0" applyFont="1" applyFill="1" applyBorder="1" applyAlignment="1" applyProtection="1">
      <alignment horizontal="center"/>
      <protection locked="0"/>
    </xf>
    <xf numFmtId="0" fontId="131" fillId="8" borderId="0" xfId="0" applyFont="1" applyFill="1" applyAlignment="1" applyProtection="1">
      <alignment horizontal="left" vertical="center" wrapText="1"/>
      <protection hidden="1"/>
    </xf>
    <xf numFmtId="0" fontId="130" fillId="8" borderId="141" xfId="0" applyFont="1" applyFill="1" applyBorder="1" applyAlignment="1">
      <alignment horizontal="justify" vertical="top" wrapText="1"/>
    </xf>
    <xf numFmtId="0" fontId="130" fillId="8" borderId="0" xfId="0" applyFont="1" applyFill="1" applyBorder="1" applyAlignment="1">
      <alignment horizontal="justify" vertical="center" wrapText="1"/>
    </xf>
    <xf numFmtId="14" fontId="141" fillId="8" borderId="0" xfId="0" applyNumberFormat="1" applyFont="1" applyFill="1" applyAlignment="1" applyProtection="1">
      <alignment horizontal="center" vertical="top"/>
      <protection hidden="1"/>
    </xf>
    <xf numFmtId="0" fontId="129" fillId="8" borderId="0" xfId="0" applyFont="1" applyFill="1" applyBorder="1" applyAlignment="1">
      <alignment horizontal="center"/>
    </xf>
    <xf numFmtId="0" fontId="122" fillId="8" borderId="133" xfId="0" applyFont="1" applyFill="1" applyBorder="1" applyAlignment="1" applyProtection="1">
      <alignment horizontal="center" vertical="center"/>
      <protection locked="0"/>
    </xf>
    <xf numFmtId="0" fontId="122" fillId="8" borderId="134" xfId="0" applyFont="1" applyFill="1" applyBorder="1" applyAlignment="1" applyProtection="1">
      <alignment horizontal="center" vertical="center"/>
      <protection locked="0"/>
    </xf>
    <xf numFmtId="0" fontId="122" fillId="8" borderId="135" xfId="0" applyFont="1" applyFill="1" applyBorder="1" applyAlignment="1" applyProtection="1">
      <alignment horizontal="center" vertical="center"/>
      <protection locked="0"/>
    </xf>
    <xf numFmtId="0" fontId="122" fillId="8" borderId="57" xfId="0" applyFont="1" applyFill="1" applyBorder="1" applyAlignment="1" applyProtection="1">
      <alignment horizontal="center" vertical="center"/>
      <protection locked="0"/>
    </xf>
    <xf numFmtId="0" fontId="122" fillId="8" borderId="27" xfId="0" applyFont="1" applyFill="1" applyBorder="1" applyAlignment="1" applyProtection="1">
      <alignment horizontal="center" vertical="center"/>
      <protection locked="0"/>
    </xf>
    <xf numFmtId="0" fontId="122" fillId="8" borderId="53" xfId="0" applyFont="1" applyFill="1" applyBorder="1" applyAlignment="1" applyProtection="1">
      <alignment horizontal="center" vertical="center"/>
      <protection locked="0"/>
    </xf>
    <xf numFmtId="0" fontId="122" fillId="8" borderId="132" xfId="0" applyFont="1" applyFill="1" applyBorder="1" applyAlignment="1" applyProtection="1">
      <alignment horizontal="center" vertical="center"/>
      <protection hidden="1"/>
    </xf>
    <xf numFmtId="0" fontId="129" fillId="8" borderId="131" xfId="0" applyFont="1" applyFill="1" applyBorder="1" applyAlignment="1">
      <alignment horizontal="center" vertical="top"/>
    </xf>
    <xf numFmtId="0" fontId="122" fillId="8" borderId="132" xfId="0" applyFont="1" applyFill="1" applyBorder="1" applyAlignment="1" applyProtection="1">
      <alignment horizontal="center" vertical="center"/>
      <protection locked="0"/>
    </xf>
    <xf numFmtId="14" fontId="122" fillId="8" borderId="132" xfId="0" applyNumberFormat="1" applyFont="1" applyFill="1" applyBorder="1" applyAlignment="1" applyProtection="1">
      <alignment horizontal="center"/>
      <protection locked="0"/>
    </xf>
    <xf numFmtId="0" fontId="122" fillId="8" borderId="132" xfId="0" applyFont="1" applyFill="1" applyBorder="1" applyAlignment="1" applyProtection="1">
      <alignment horizontal="center"/>
      <protection locked="0"/>
    </xf>
    <xf numFmtId="49" fontId="122" fillId="8" borderId="132" xfId="0" applyNumberFormat="1" applyFont="1" applyFill="1" applyBorder="1" applyAlignment="1" applyProtection="1">
      <alignment horizontal="center"/>
      <protection locked="0"/>
    </xf>
    <xf numFmtId="0" fontId="130" fillId="8" borderId="92" xfId="0" applyFont="1" applyFill="1" applyBorder="1" applyAlignment="1">
      <alignment horizontal="justify" vertical="top" wrapText="1"/>
    </xf>
    <xf numFmtId="3" fontId="12" fillId="3" borderId="67" xfId="0" applyNumberFormat="1" applyFont="1" applyFill="1" applyBorder="1" applyAlignment="1" applyProtection="1">
      <alignment horizontal="center"/>
      <protection hidden="1"/>
    </xf>
    <xf numFmtId="3" fontId="12" fillId="3" borderId="66" xfId="0" applyNumberFormat="1" applyFont="1" applyFill="1" applyBorder="1" applyAlignment="1" applyProtection="1">
      <alignment horizontal="center"/>
      <protection hidden="1"/>
    </xf>
    <xf numFmtId="3" fontId="12" fillId="3" borderId="76" xfId="0" applyNumberFormat="1" applyFont="1" applyFill="1" applyBorder="1" applyAlignment="1" applyProtection="1">
      <alignment horizontal="center"/>
      <protection hidden="1"/>
    </xf>
    <xf numFmtId="4" fontId="82" fillId="3" borderId="67" xfId="0" applyNumberFormat="1" applyFont="1" applyFill="1" applyBorder="1" applyAlignment="1" applyProtection="1">
      <alignment horizontal="center" vertical="center"/>
      <protection hidden="1"/>
    </xf>
    <xf numFmtId="4" fontId="82" fillId="3" borderId="66" xfId="0" applyNumberFormat="1" applyFont="1" applyFill="1" applyBorder="1" applyAlignment="1" applyProtection="1">
      <alignment horizontal="center" vertical="center"/>
      <protection hidden="1"/>
    </xf>
    <xf numFmtId="4" fontId="82" fillId="3" borderId="76" xfId="0" applyNumberFormat="1" applyFont="1" applyFill="1" applyBorder="1" applyAlignment="1" applyProtection="1">
      <alignment horizontal="center" vertical="center"/>
      <protection hidden="1"/>
    </xf>
    <xf numFmtId="4" fontId="5" fillId="6" borderId="34" xfId="0" applyNumberFormat="1" applyFont="1" applyFill="1" applyBorder="1" applyAlignment="1" applyProtection="1">
      <alignment horizontal="center" vertical="center" wrapText="1"/>
      <protection hidden="1"/>
    </xf>
    <xf numFmtId="4" fontId="5" fillId="6" borderId="10" xfId="0" applyNumberFormat="1" applyFont="1" applyFill="1" applyBorder="1" applyAlignment="1" applyProtection="1">
      <alignment horizontal="center" vertical="center" wrapText="1"/>
      <protection hidden="1"/>
    </xf>
    <xf numFmtId="4" fontId="5" fillId="6" borderId="31" xfId="0" applyNumberFormat="1" applyFont="1" applyFill="1" applyBorder="1" applyAlignment="1" applyProtection="1">
      <alignment horizontal="center" vertical="center" wrapText="1"/>
      <protection hidden="1"/>
    </xf>
    <xf numFmtId="4" fontId="5" fillId="6" borderId="34" xfId="0" applyNumberFormat="1" applyFont="1" applyFill="1" applyBorder="1" applyAlignment="1" applyProtection="1">
      <alignment horizontal="right"/>
      <protection hidden="1"/>
    </xf>
    <xf numFmtId="4" fontId="5" fillId="6" borderId="10" xfId="0" applyNumberFormat="1" applyFont="1" applyFill="1" applyBorder="1" applyAlignment="1" applyProtection="1">
      <alignment horizontal="right"/>
      <protection hidden="1"/>
    </xf>
    <xf numFmtId="4" fontId="5" fillId="6" borderId="31" xfId="0" applyNumberFormat="1" applyFont="1" applyFill="1" applyBorder="1" applyAlignment="1" applyProtection="1">
      <alignment horizontal="right"/>
      <protection hidden="1"/>
    </xf>
    <xf numFmtId="0" fontId="69" fillId="3" borderId="67" xfId="0" applyFont="1" applyFill="1" applyBorder="1" applyAlignment="1" applyProtection="1">
      <alignment horizontal="center"/>
      <protection hidden="1"/>
    </xf>
    <xf numFmtId="0" fontId="69" fillId="3" borderId="66" xfId="0" applyFont="1" applyFill="1" applyBorder="1" applyAlignment="1" applyProtection="1">
      <alignment horizontal="center"/>
      <protection hidden="1"/>
    </xf>
    <xf numFmtId="0" fontId="69" fillId="3" borderId="76" xfId="0" applyFont="1" applyFill="1" applyBorder="1" applyAlignment="1" applyProtection="1">
      <alignment horizontal="center"/>
      <protection hidden="1"/>
    </xf>
    <xf numFmtId="4" fontId="4" fillId="6" borderId="67" xfId="0" applyNumberFormat="1" applyFont="1" applyFill="1" applyBorder="1" applyAlignment="1" applyProtection="1">
      <alignment horizontal="right"/>
      <protection hidden="1"/>
    </xf>
    <xf numFmtId="4" fontId="4" fillId="6" borderId="66" xfId="0" applyNumberFormat="1" applyFont="1" applyFill="1" applyBorder="1" applyAlignment="1" applyProtection="1">
      <alignment horizontal="right"/>
      <protection hidden="1"/>
    </xf>
    <xf numFmtId="4" fontId="4" fillId="6" borderId="76" xfId="0" applyNumberFormat="1" applyFont="1" applyFill="1" applyBorder="1" applyAlignment="1" applyProtection="1">
      <alignment horizontal="right"/>
      <protection hidden="1"/>
    </xf>
    <xf numFmtId="4" fontId="5" fillId="6" borderId="67" xfId="0" applyNumberFormat="1" applyFont="1" applyFill="1" applyBorder="1" applyAlignment="1" applyProtection="1">
      <alignment horizontal="right"/>
      <protection hidden="1"/>
    </xf>
    <xf numFmtId="4" fontId="5" fillId="6" borderId="66" xfId="0" applyNumberFormat="1" applyFont="1" applyFill="1" applyBorder="1" applyAlignment="1" applyProtection="1">
      <alignment horizontal="right"/>
      <protection hidden="1"/>
    </xf>
    <xf numFmtId="4" fontId="5" fillId="6" borderId="34" xfId="0" applyNumberFormat="1" applyFont="1" applyFill="1" applyBorder="1" applyAlignment="1" applyProtection="1">
      <alignment horizontal="center"/>
      <protection hidden="1"/>
    </xf>
    <xf numFmtId="4" fontId="5" fillId="6" borderId="10" xfId="0" applyNumberFormat="1" applyFont="1" applyFill="1" applyBorder="1" applyAlignment="1" applyProtection="1">
      <alignment horizontal="center"/>
      <protection hidden="1"/>
    </xf>
    <xf numFmtId="4" fontId="5" fillId="6" borderId="31" xfId="0" applyNumberFormat="1" applyFont="1" applyFill="1" applyBorder="1" applyAlignment="1" applyProtection="1">
      <alignment horizontal="center"/>
      <protection hidden="1"/>
    </xf>
    <xf numFmtId="4" fontId="63" fillId="3" borderId="67" xfId="0" applyNumberFormat="1" applyFont="1" applyFill="1" applyBorder="1" applyAlignment="1" applyProtection="1">
      <alignment horizontal="right"/>
      <protection hidden="1"/>
    </xf>
    <xf numFmtId="4" fontId="63" fillId="3" borderId="66" xfId="0" applyNumberFormat="1" applyFont="1" applyFill="1" applyBorder="1" applyAlignment="1" applyProtection="1">
      <alignment horizontal="right"/>
      <protection hidden="1"/>
    </xf>
    <xf numFmtId="4" fontId="63" fillId="3" borderId="76" xfId="0" applyNumberFormat="1" applyFont="1" applyFill="1" applyBorder="1" applyAlignment="1" applyProtection="1">
      <alignment horizontal="right"/>
      <protection hidden="1"/>
    </xf>
    <xf numFmtId="4" fontId="49" fillId="6" borderId="67" xfId="0" applyNumberFormat="1" applyFont="1" applyFill="1" applyBorder="1" applyAlignment="1" applyProtection="1">
      <alignment horizontal="right"/>
      <protection hidden="1"/>
    </xf>
    <xf numFmtId="4" fontId="49" fillId="6" borderId="66" xfId="0" applyNumberFormat="1" applyFont="1" applyFill="1" applyBorder="1" applyAlignment="1" applyProtection="1">
      <alignment horizontal="right"/>
      <protection hidden="1"/>
    </xf>
    <xf numFmtId="0" fontId="5" fillId="3" borderId="67" xfId="0" applyFont="1" applyFill="1" applyBorder="1" applyAlignment="1" applyProtection="1">
      <alignment horizontal="center"/>
      <protection hidden="1"/>
    </xf>
    <xf numFmtId="0" fontId="5" fillId="3" borderId="66" xfId="0" applyFont="1" applyFill="1" applyBorder="1" applyAlignment="1" applyProtection="1">
      <alignment horizontal="center"/>
      <protection hidden="1"/>
    </xf>
    <xf numFmtId="0" fontId="5" fillId="3" borderId="76" xfId="0" applyFont="1" applyFill="1" applyBorder="1" applyAlignment="1" applyProtection="1">
      <alignment horizontal="center"/>
      <protection hidden="1"/>
    </xf>
    <xf numFmtId="4" fontId="5" fillId="6" borderId="76" xfId="0" applyNumberFormat="1" applyFont="1" applyFill="1" applyBorder="1" applyAlignment="1" applyProtection="1">
      <alignment horizontal="right"/>
      <protection hidden="1"/>
    </xf>
    <xf numFmtId="175" fontId="5" fillId="6" borderId="78" xfId="0" applyNumberFormat="1" applyFont="1" applyFill="1" applyBorder="1" applyAlignment="1" applyProtection="1">
      <alignment horizontal="center"/>
      <protection hidden="1"/>
    </xf>
    <xf numFmtId="3" fontId="49" fillId="6" borderId="67" xfId="0" applyNumberFormat="1" applyFont="1" applyFill="1" applyBorder="1" applyAlignment="1" applyProtection="1">
      <alignment horizontal="right"/>
      <protection hidden="1"/>
    </xf>
    <xf numFmtId="3" fontId="49" fillId="6" borderId="66" xfId="0" applyNumberFormat="1" applyFont="1" applyFill="1" applyBorder="1" applyAlignment="1" applyProtection="1">
      <alignment horizontal="right"/>
      <protection hidden="1"/>
    </xf>
    <xf numFmtId="0" fontId="50" fillId="3" borderId="55" xfId="0" applyFont="1" applyFill="1" applyBorder="1" applyAlignment="1" applyProtection="1">
      <alignment horizontal="left" wrapText="1"/>
      <protection hidden="1"/>
    </xf>
    <xf numFmtId="0" fontId="50" fillId="3" borderId="0" xfId="0" applyFont="1" applyFill="1" applyBorder="1" applyAlignment="1" applyProtection="1">
      <alignment horizontal="left" wrapText="1"/>
      <protection hidden="1"/>
    </xf>
    <xf numFmtId="0" fontId="5" fillId="6" borderId="78" xfId="0" applyFont="1" applyFill="1" applyBorder="1" applyAlignment="1" applyProtection="1">
      <alignment horizontal="center"/>
      <protection hidden="1"/>
    </xf>
    <xf numFmtId="0" fontId="6" fillId="6" borderId="70" xfId="0" applyFont="1" applyFill="1" applyBorder="1" applyAlignment="1" applyProtection="1">
      <alignment horizontal="center" vertical="center"/>
      <protection hidden="1"/>
    </xf>
    <xf numFmtId="0" fontId="6" fillId="6" borderId="59" xfId="0" applyFont="1" applyFill="1" applyBorder="1" applyAlignment="1" applyProtection="1">
      <alignment horizontal="center" vertical="center"/>
      <protection hidden="1"/>
    </xf>
    <xf numFmtId="0" fontId="6" fillId="6" borderId="71" xfId="0" applyFont="1" applyFill="1" applyBorder="1" applyAlignment="1" applyProtection="1">
      <alignment horizontal="center" vertical="center"/>
      <protection hidden="1"/>
    </xf>
    <xf numFmtId="0" fontId="6" fillId="6" borderId="57" xfId="0" applyFont="1" applyFill="1" applyBorder="1" applyAlignment="1" applyProtection="1">
      <alignment horizontal="center" vertical="center"/>
      <protection hidden="1"/>
    </xf>
    <xf numFmtId="0" fontId="6" fillId="6" borderId="27" xfId="0" applyFont="1" applyFill="1" applyBorder="1" applyAlignment="1" applyProtection="1">
      <alignment horizontal="center" vertical="center"/>
      <protection hidden="1"/>
    </xf>
    <xf numFmtId="0" fontId="6" fillId="6" borderId="53" xfId="0" applyFont="1" applyFill="1" applyBorder="1" applyAlignment="1" applyProtection="1">
      <alignment horizontal="center" vertical="center"/>
      <protection hidden="1"/>
    </xf>
    <xf numFmtId="0" fontId="48" fillId="3" borderId="67" xfId="0" applyFont="1" applyFill="1" applyBorder="1" applyAlignment="1" applyProtection="1">
      <alignment horizontal="left" vertical="top" wrapText="1"/>
      <protection hidden="1"/>
    </xf>
    <xf numFmtId="0" fontId="48" fillId="3" borderId="66" xfId="0" applyFont="1" applyFill="1" applyBorder="1" applyAlignment="1" applyProtection="1">
      <alignment horizontal="left" vertical="top" wrapText="1"/>
      <protection hidden="1"/>
    </xf>
    <xf numFmtId="0" fontId="48" fillId="3" borderId="86" xfId="0" applyFont="1" applyFill="1" applyBorder="1" applyAlignment="1" applyProtection="1">
      <alignment horizontal="left" vertical="top" wrapText="1"/>
      <protection hidden="1"/>
    </xf>
    <xf numFmtId="0" fontId="139" fillId="8" borderId="10" xfId="0" applyFont="1" applyFill="1" applyBorder="1" applyAlignment="1">
      <alignment horizontal="left" vertical="center" wrapText="1"/>
    </xf>
    <xf numFmtId="44" fontId="153" fillId="8" borderId="34" xfId="12" applyFont="1" applyFill="1" applyBorder="1" applyAlignment="1" applyProtection="1">
      <alignment vertical="center" wrapText="1"/>
      <protection hidden="1"/>
    </xf>
    <xf numFmtId="44" fontId="153" fillId="8" borderId="10" xfId="12" applyFont="1" applyFill="1" applyBorder="1" applyAlignment="1" applyProtection="1">
      <alignment vertical="center" wrapText="1"/>
      <protection hidden="1"/>
    </xf>
    <xf numFmtId="0" fontId="0" fillId="0" borderId="0" xfId="0" applyAlignment="1" applyProtection="1">
      <alignment horizontal="center"/>
      <protection hidden="1"/>
    </xf>
    <xf numFmtId="0" fontId="191" fillId="8" borderId="0" xfId="0" applyFont="1" applyFill="1" applyAlignment="1">
      <alignment horizontal="center" vertical="center" wrapText="1"/>
    </xf>
    <xf numFmtId="0" fontId="139" fillId="8" borderId="11" xfId="0" applyFont="1" applyFill="1" applyBorder="1" applyAlignment="1">
      <alignment horizontal="left" vertical="center" wrapText="1"/>
    </xf>
    <xf numFmtId="0" fontId="139" fillId="8" borderId="4" xfId="0" applyFont="1" applyFill="1" applyBorder="1" applyAlignment="1">
      <alignment horizontal="left" vertical="center" wrapText="1"/>
    </xf>
    <xf numFmtId="0" fontId="139" fillId="8" borderId="12" xfId="0" applyFont="1" applyFill="1" applyBorder="1" applyAlignment="1">
      <alignment horizontal="left" vertical="center" wrapText="1"/>
    </xf>
    <xf numFmtId="176" fontId="153" fillId="8" borderId="34" xfId="0" applyNumberFormat="1" applyFont="1" applyFill="1" applyBorder="1" applyAlignment="1" applyProtection="1">
      <alignment horizontal="center" vertical="center" wrapText="1"/>
      <protection hidden="1"/>
    </xf>
    <xf numFmtId="176" fontId="153" fillId="8" borderId="10" xfId="0" applyNumberFormat="1" applyFont="1" applyFill="1" applyBorder="1" applyAlignment="1" applyProtection="1">
      <alignment horizontal="center" vertical="center" wrapText="1"/>
      <protection hidden="1"/>
    </xf>
    <xf numFmtId="0" fontId="139" fillId="8" borderId="31" xfId="0" applyFont="1" applyFill="1" applyBorder="1" applyAlignment="1">
      <alignment horizontal="left" vertical="center" wrapText="1"/>
    </xf>
    <xf numFmtId="0" fontId="32" fillId="0" borderId="32" xfId="0" applyFont="1" applyFill="1" applyBorder="1" applyAlignment="1" applyProtection="1">
      <alignment horizontal="left" wrapText="1"/>
      <protection hidden="1"/>
    </xf>
    <xf numFmtId="0" fontId="32" fillId="4" borderId="32" xfId="0" applyFont="1" applyFill="1" applyBorder="1" applyAlignment="1" applyProtection="1">
      <alignment horizontal="left" wrapText="1"/>
      <protection hidden="1"/>
    </xf>
    <xf numFmtId="0" fontId="32" fillId="4" borderId="32" xfId="0" applyFont="1" applyFill="1" applyBorder="1" applyAlignment="1" applyProtection="1">
      <alignment horizontal="center"/>
      <protection hidden="1"/>
    </xf>
    <xf numFmtId="0" fontId="32" fillId="0" borderId="32" xfId="0" applyFont="1" applyFill="1" applyBorder="1" applyAlignment="1" applyProtection="1">
      <alignment horizontal="center" vertical="center"/>
      <protection hidden="1"/>
    </xf>
    <xf numFmtId="0" fontId="32" fillId="4" borderId="32" xfId="0" applyFont="1" applyFill="1" applyBorder="1" applyAlignment="1" applyProtection="1">
      <alignment horizontal="left" vertical="top" wrapText="1"/>
      <protection hidden="1"/>
    </xf>
    <xf numFmtId="0" fontId="32" fillId="0" borderId="32" xfId="0" applyFont="1" applyFill="1" applyBorder="1" applyAlignment="1" applyProtection="1">
      <alignment horizontal="center"/>
      <protection hidden="1"/>
    </xf>
    <xf numFmtId="0" fontId="32" fillId="0" borderId="2" xfId="0" applyFont="1" applyFill="1" applyBorder="1" applyAlignment="1" applyProtection="1">
      <alignment horizontal="center"/>
      <protection hidden="1"/>
    </xf>
    <xf numFmtId="0" fontId="32" fillId="3" borderId="21" xfId="0" applyFont="1" applyFill="1" applyBorder="1" applyAlignment="1" applyProtection="1">
      <alignment horizontal="left" wrapText="1"/>
      <protection hidden="1"/>
    </xf>
    <xf numFmtId="0" fontId="32" fillId="3" borderId="32" xfId="0" applyFont="1" applyFill="1" applyBorder="1" applyAlignment="1" applyProtection="1">
      <alignment horizontal="left" wrapText="1"/>
      <protection hidden="1"/>
    </xf>
    <xf numFmtId="0" fontId="32" fillId="3" borderId="12" xfId="0" applyFont="1" applyFill="1" applyBorder="1" applyAlignment="1" applyProtection="1">
      <alignment horizontal="center"/>
      <protection hidden="1"/>
    </xf>
    <xf numFmtId="0" fontId="32" fillId="3" borderId="2" xfId="0" applyFont="1" applyFill="1" applyBorder="1" applyAlignment="1" applyProtection="1">
      <alignment horizontal="center"/>
      <protection hidden="1"/>
    </xf>
    <xf numFmtId="0" fontId="32" fillId="4" borderId="19" xfId="0" applyFont="1" applyFill="1" applyBorder="1" applyAlignment="1" applyProtection="1">
      <alignment horizontal="left" wrapText="1"/>
      <protection hidden="1"/>
    </xf>
    <xf numFmtId="0" fontId="32" fillId="4" borderId="19" xfId="0" applyFont="1" applyFill="1" applyBorder="1" applyAlignment="1" applyProtection="1">
      <alignment horizontal="center"/>
      <protection hidden="1"/>
    </xf>
    <xf numFmtId="0" fontId="32" fillId="3" borderId="32" xfId="0" applyFont="1" applyFill="1" applyBorder="1" applyAlignment="1" applyProtection="1">
      <alignment horizontal="center"/>
      <protection hidden="1"/>
    </xf>
    <xf numFmtId="0" fontId="32" fillId="4" borderId="1" xfId="0" applyFont="1" applyFill="1" applyBorder="1" applyAlignment="1" applyProtection="1">
      <alignment horizontal="left" wrapText="1"/>
      <protection hidden="1"/>
    </xf>
    <xf numFmtId="0" fontId="32" fillId="3" borderId="21" xfId="0" applyFont="1" applyFill="1" applyBorder="1" applyAlignment="1" applyProtection="1">
      <alignment wrapText="1"/>
      <protection hidden="1"/>
    </xf>
    <xf numFmtId="0" fontId="32" fillId="3" borderId="32" xfId="0" applyFont="1" applyFill="1" applyBorder="1" applyAlignment="1" applyProtection="1">
      <alignment wrapText="1"/>
      <protection hidden="1"/>
    </xf>
    <xf numFmtId="0" fontId="32" fillId="3" borderId="21" xfId="0" applyFont="1" applyFill="1" applyBorder="1" applyAlignment="1" applyProtection="1">
      <alignment horizontal="center" vertical="center"/>
      <protection hidden="1"/>
    </xf>
    <xf numFmtId="0" fontId="32" fillId="3" borderId="32" xfId="0" applyFont="1" applyFill="1" applyBorder="1" applyAlignment="1" applyProtection="1">
      <alignment horizontal="center" vertical="center"/>
      <protection hidden="1"/>
    </xf>
    <xf numFmtId="0" fontId="32" fillId="3" borderId="21" xfId="0" applyFont="1" applyFill="1" applyBorder="1" applyAlignment="1" applyProtection="1">
      <alignment horizontal="left" vertical="top" wrapText="1"/>
      <protection hidden="1"/>
    </xf>
    <xf numFmtId="0" fontId="32" fillId="3" borderId="32" xfId="0" applyFont="1" applyFill="1" applyBorder="1" applyAlignment="1" applyProtection="1">
      <alignment horizontal="left" vertical="top" wrapText="1"/>
      <protection hidden="1"/>
    </xf>
    <xf numFmtId="0" fontId="32" fillId="3" borderId="21" xfId="0" applyFont="1" applyFill="1" applyBorder="1" applyAlignment="1" applyProtection="1">
      <alignment horizontal="center"/>
      <protection hidden="1"/>
    </xf>
    <xf numFmtId="0" fontId="13" fillId="3" borderId="0" xfId="0" applyFont="1" applyFill="1" applyAlignment="1" applyProtection="1">
      <alignment horizontal="justify" vertical="top" wrapText="1"/>
      <protection hidden="1"/>
    </xf>
  </cellXfs>
  <cellStyles count="14">
    <cellStyle name="Dobrá" xfId="8" builtinId="26"/>
    <cellStyle name="Hypertextové prepojenie" xfId="1" builtinId="8"/>
    <cellStyle name="Mena" xfId="12" builtinId="4"/>
    <cellStyle name="Normal 2" xfId="7" xr:uid="{00000000-0005-0000-0000-000005000000}"/>
    <cellStyle name="Normal_DB_0406" xfId="2" xr:uid="{00000000-0005-0000-0000-000006000000}"/>
    <cellStyle name="Normal_PZ_Flexi_Union-policajti" xfId="3" xr:uid="{00000000-0005-0000-0000-000007000000}"/>
    <cellStyle name="Normálna" xfId="0" builtinId="0"/>
    <cellStyle name="normálne 2" xfId="5" xr:uid="{00000000-0005-0000-0000-000008000000}"/>
    <cellStyle name="normálne 3" xfId="6" xr:uid="{00000000-0005-0000-0000-000009000000}"/>
    <cellStyle name="normální_LZ1-AB-VÝSTUP" xfId="4" xr:uid="{00000000-0005-0000-0000-00000A000000}"/>
    <cellStyle name="Percent 2" xfId="13" xr:uid="{C8C47BD9-C9D5-4560-AAFF-75A5650855D2}"/>
    <cellStyle name="Percentá" xfId="11" builtinId="5"/>
    <cellStyle name="Vstup" xfId="10" builtinId="20"/>
    <cellStyle name="Zlá" xfId="9" builtinId="27"/>
  </cellStyles>
  <dxfs count="88">
    <dxf>
      <fill>
        <patternFill>
          <bgColor indexed="9"/>
        </patternFill>
      </fill>
    </dxf>
    <dxf>
      <fill>
        <patternFill>
          <bgColor indexed="9"/>
        </patternFill>
      </fill>
    </dxf>
    <dxf>
      <fill>
        <patternFill>
          <bgColor indexed="9"/>
        </patternFill>
      </fill>
    </dxf>
    <dxf>
      <fill>
        <patternFill>
          <bgColor indexed="9"/>
        </patternFill>
      </fill>
    </dxf>
    <dxf>
      <fill>
        <patternFill>
          <bgColor indexed="45"/>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45"/>
        </patternFill>
      </fill>
    </dxf>
    <dxf>
      <fill>
        <patternFill>
          <bgColor indexed="45"/>
        </patternFill>
      </fill>
    </dxf>
    <dxf>
      <font>
        <condense val="0"/>
        <extend val="0"/>
        <color auto="1"/>
      </font>
      <fill>
        <patternFill>
          <bgColor indexed="45"/>
        </patternFill>
      </fill>
    </dxf>
    <dxf>
      <fill>
        <patternFill>
          <bgColor theme="0" tint="-0.24994659260841701"/>
        </patternFill>
      </fill>
    </dxf>
    <dxf>
      <fill>
        <patternFill>
          <bgColor theme="0" tint="-0.24994659260841701"/>
        </patternFill>
      </fill>
    </dxf>
    <dxf>
      <font>
        <b/>
        <i val="0"/>
        <color rgb="FF00B050"/>
      </font>
    </dxf>
    <dxf>
      <fill>
        <patternFill>
          <bgColor theme="0" tint="-0.24994659260841701"/>
        </patternFill>
      </fill>
    </dxf>
    <dxf>
      <fill>
        <patternFill>
          <bgColor theme="0" tint="-0.24994659260841701"/>
        </patternFill>
      </fill>
    </dxf>
    <dxf>
      <font>
        <b/>
        <i val="0"/>
        <color rgb="FFC00000"/>
      </font>
      <fill>
        <patternFill>
          <bgColor theme="9" tint="0.59996337778862885"/>
        </patternFill>
      </fill>
      <border>
        <left style="thin">
          <color rgb="FFC00000"/>
        </left>
        <right style="thin">
          <color rgb="FFC00000"/>
        </right>
        <top/>
        <bottom style="thin">
          <color rgb="FFC00000"/>
        </bottom>
        <vertical/>
        <horizontal/>
      </border>
    </dxf>
    <dxf>
      <font>
        <b/>
        <i val="0"/>
        <color rgb="FFC00000"/>
      </font>
      <fill>
        <patternFill>
          <bgColor theme="9" tint="0.59996337778862885"/>
        </patternFill>
      </fill>
      <border>
        <left style="thin">
          <color rgb="FFC00000"/>
        </left>
        <right style="thin">
          <color rgb="FFC00000"/>
        </right>
        <top style="thin">
          <color rgb="FFC00000"/>
        </top>
        <bottom/>
        <vertical/>
        <horizontal/>
      </border>
    </dxf>
    <dxf>
      <fill>
        <patternFill>
          <bgColor theme="0" tint="-0.24994659260841701"/>
        </patternFill>
      </fill>
    </dxf>
    <dxf>
      <fill>
        <patternFill>
          <bgColor theme="0" tint="-0.24994659260841701"/>
        </patternFill>
      </fill>
    </dxf>
    <dxf>
      <fill>
        <patternFill>
          <bgColor theme="9" tint="0.39994506668294322"/>
        </patternFill>
      </fill>
    </dxf>
    <dxf>
      <fill>
        <patternFill>
          <bgColor theme="0"/>
        </patternFill>
      </fill>
    </dxf>
    <dxf>
      <fill>
        <patternFill>
          <bgColor theme="0" tint="-0.24994659260841701"/>
        </patternFill>
      </fill>
    </dxf>
    <dxf>
      <font>
        <color rgb="FF00B050"/>
      </font>
      <fill>
        <patternFill>
          <bgColor theme="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color rgb="FF009900"/>
      </font>
    </dxf>
    <dxf>
      <fill>
        <patternFill>
          <bgColor theme="0" tint="-0.24994659260841701"/>
        </patternFill>
      </fill>
    </dxf>
    <dxf>
      <font>
        <b/>
        <i val="0"/>
        <color rgb="FFC00000"/>
      </font>
      <fill>
        <patternFill>
          <bgColor rgb="FFFFC000"/>
        </patternFill>
      </fill>
      <border>
        <left style="thin">
          <color rgb="FFFF0000"/>
        </left>
        <right style="thin">
          <color rgb="FFFF0000"/>
        </right>
        <top style="thin">
          <color rgb="FFFF0000"/>
        </top>
        <bottom style="thin">
          <color rgb="FFFF0000"/>
        </bottom>
        <vertical/>
        <horizontal/>
      </border>
    </dxf>
    <dxf>
      <font>
        <b/>
        <i val="0"/>
        <strike val="0"/>
        <color rgb="FF009900"/>
      </font>
      <fill>
        <patternFill>
          <bgColor rgb="FFFFFFFF"/>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indexed="55"/>
        </patternFill>
      </fill>
    </dxf>
    <dxf>
      <fill>
        <patternFill>
          <bgColor theme="0" tint="-0.24994659260841701"/>
        </patternFill>
      </fill>
    </dxf>
    <dxf>
      <fill>
        <patternFill>
          <bgColor rgb="FFFFB7B7"/>
        </patternFill>
      </fill>
    </dxf>
    <dxf>
      <fill>
        <patternFill>
          <bgColor theme="0" tint="-0.24994659260841701"/>
        </patternFill>
      </fill>
    </dxf>
    <dxf>
      <fill>
        <patternFill>
          <bgColor theme="0" tint="-0.24994659260841701"/>
        </patternFill>
      </fill>
    </dxf>
    <dxf>
      <fill>
        <patternFill>
          <bgColor theme="0" tint="-0.24994659260841701"/>
        </patternFill>
      </fill>
    </dxf>
    <dxf>
      <font>
        <b/>
        <i val="0"/>
        <strike val="0"/>
        <color rgb="FFFF0000"/>
      </font>
      <fill>
        <patternFill>
          <bgColor rgb="FFFFFF00"/>
        </patternFill>
      </fill>
      <border>
        <left style="thin">
          <color rgb="FFFF0000"/>
        </left>
        <right style="thin">
          <color rgb="FFFF0000"/>
        </right>
        <top style="thin">
          <color rgb="FFFF0000"/>
        </top>
        <bottom style="thin">
          <color rgb="FFFF0000"/>
        </bottom>
        <vertical/>
        <horizontal/>
      </border>
    </dxf>
    <dxf>
      <fill>
        <patternFill>
          <bgColor rgb="FFFFB3B3"/>
        </patternFill>
      </fill>
    </dxf>
    <dxf>
      <font>
        <b/>
        <i val="0"/>
        <strike val="0"/>
        <color rgb="FFCC3300"/>
      </font>
      <fill>
        <patternFill>
          <bgColor theme="9" tint="0.59996337778862885"/>
        </patternFill>
      </fill>
      <border>
        <left style="thin">
          <color rgb="FFCC3300"/>
        </left>
        <right style="thin">
          <color rgb="FFCC3300"/>
        </right>
        <top style="thin">
          <color rgb="FFCC3300"/>
        </top>
        <bottom style="thin">
          <color rgb="FFCC33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99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9999"/>
        </patternFill>
      </fill>
    </dxf>
    <dxf>
      <fill>
        <patternFill>
          <bgColor theme="0" tint="-0.24994659260841701"/>
        </patternFill>
      </fill>
    </dxf>
    <dxf>
      <font>
        <b/>
        <i val="0"/>
        <color rgb="FFFF0000"/>
      </font>
      <fill>
        <patternFill>
          <bgColor rgb="FFFFFF00"/>
        </patternFill>
      </fill>
      <border>
        <left style="thin">
          <color rgb="FFFF0000"/>
        </left>
        <right style="thin">
          <color rgb="FFFF0000"/>
        </right>
        <top style="thin">
          <color rgb="FFFF0000"/>
        </top>
        <bottom style="thin">
          <color rgb="FFFF0000"/>
        </bottom>
        <vertical/>
        <horizontal/>
      </border>
    </dxf>
    <dxf>
      <fill>
        <patternFill>
          <bgColor theme="0" tint="-0.24994659260841701"/>
        </patternFill>
      </fill>
    </dxf>
    <dxf>
      <fill>
        <patternFill>
          <bgColor theme="0" tint="-0.24994659260841701"/>
        </patternFill>
      </fill>
    </dxf>
    <dxf>
      <fill>
        <patternFill>
          <bgColor indexed="55"/>
        </patternFill>
      </fill>
    </dxf>
    <dxf>
      <fill>
        <patternFill>
          <bgColor indexed="55"/>
        </patternFill>
      </fill>
    </dxf>
    <dxf>
      <fill>
        <patternFill>
          <bgColor indexed="55"/>
        </patternFill>
      </fill>
    </dxf>
    <dxf>
      <fill>
        <patternFill>
          <bgColor indexed="45"/>
        </patternFill>
      </fill>
    </dxf>
    <dxf>
      <fill>
        <patternFill>
          <bgColor theme="0" tint="-0.24994659260841701"/>
        </patternFill>
      </fill>
    </dxf>
    <dxf>
      <font>
        <b/>
        <i val="0"/>
        <strike val="0"/>
        <color theme="6" tint="-0.24994659260841701"/>
      </font>
    </dxf>
    <dxf>
      <font>
        <b/>
        <i val="0"/>
        <strike val="0"/>
        <color theme="6" tint="-0.24994659260841701"/>
      </font>
    </dxf>
    <dxf>
      <fill>
        <patternFill>
          <bgColor rgb="FF92D050"/>
        </patternFill>
      </fill>
    </dxf>
    <dxf>
      <fill>
        <patternFill>
          <bgColor rgb="FF92D050"/>
        </patternFill>
      </fill>
    </dxf>
    <dxf>
      <fill>
        <patternFill>
          <bgColor rgb="FF92D050"/>
        </patternFill>
      </fill>
    </dxf>
    <dxf>
      <font>
        <b/>
        <i val="0"/>
        <color rgb="FF00B050"/>
      </font>
    </dxf>
    <dxf>
      <font>
        <b/>
        <i val="0"/>
        <strike val="0"/>
        <color rgb="FFC00000"/>
      </font>
      <fill>
        <patternFill>
          <bgColor rgb="FFFFFF00"/>
        </patternFill>
      </fill>
      <border>
        <left style="thin">
          <color rgb="FFC00000"/>
        </left>
        <right style="thin">
          <color rgb="FFC00000"/>
        </right>
        <top style="thin">
          <color rgb="FFC00000"/>
        </top>
        <vertical/>
        <horizontal/>
      </border>
    </dxf>
    <dxf>
      <font>
        <b/>
        <i val="0"/>
        <strike val="0"/>
        <color rgb="FFC00000"/>
      </font>
      <fill>
        <patternFill>
          <bgColor rgb="FFFFFF00"/>
        </patternFill>
      </fill>
      <border>
        <left style="thin">
          <color rgb="FFC00000"/>
        </left>
        <right style="thin">
          <color rgb="FFC00000"/>
        </right>
        <bottom style="thin">
          <color rgb="FFC00000"/>
        </bottom>
        <vertical/>
        <horizontal/>
      </border>
    </dxf>
    <dxf>
      <font>
        <b/>
        <i val="0"/>
        <strike val="0"/>
        <color rgb="FFC00000"/>
      </font>
      <fill>
        <patternFill>
          <bgColor rgb="FFFFFF00"/>
        </patternFill>
      </fill>
      <border>
        <left style="thin">
          <color rgb="FFC00000"/>
        </left>
        <right style="thin">
          <color rgb="FFC00000"/>
        </right>
        <vertical/>
        <horizontal/>
      </border>
    </dxf>
    <dxf>
      <font>
        <b/>
        <i val="0"/>
        <color rgb="FFC00000"/>
      </font>
      <fill>
        <patternFill>
          <bgColor theme="9" tint="0.59996337778862885"/>
        </patternFill>
      </fill>
      <border>
        <left style="thin">
          <color rgb="FFC00000"/>
        </left>
        <right style="thin">
          <color rgb="FFC00000"/>
        </right>
        <top style="thin">
          <color rgb="FFC00000"/>
        </top>
        <bottom style="thin">
          <color rgb="FFC00000"/>
        </bottom>
        <vertical/>
        <horizontal/>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20000"/>
      <rgbColor rgb="0000FF00"/>
      <rgbColor rgb="000000FF"/>
      <rgbColor rgb="00FFFF00"/>
      <rgbColor rgb="00FF00FF"/>
      <rgbColor rgb="0000FFFF"/>
      <rgbColor rgb="009A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FFC8C8"/>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C6528C"/>
      <rgbColor rgb="00333399"/>
      <rgbColor rgb="00424242"/>
    </indexedColors>
    <mruColors>
      <color rgb="FF0000FF"/>
      <color rgb="FFFF99CC"/>
      <color rgb="FFFF99FF"/>
      <color rgb="FF009900"/>
      <color rgb="FFFFB7B7"/>
      <color rgb="FFFF9999"/>
      <color rgb="FFCC3300"/>
      <color rgb="FFFFB3B3"/>
      <color rgb="FFFFFF99"/>
      <color rgb="FFFFB9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B$50" noThreeD="1"/>
</file>

<file path=xl/ctrlProps/ctrlProp2.xml><?xml version="1.0" encoding="utf-8"?>
<formControlPr xmlns="http://schemas.microsoft.com/office/spreadsheetml/2009/9/main" objectType="CheckBox" fmlaLink="$B$51" lockText="1" noThreeD="1"/>
</file>

<file path=xl/ctrlProps/ctrlProp3.xml><?xml version="1.0" encoding="utf-8"?>
<formControlPr xmlns="http://schemas.microsoft.com/office/spreadsheetml/2009/9/main" objectType="CheckBox" fmlaLink="$B$52" lockText="1" noThreeD="1"/>
</file>

<file path=xl/ctrlProps/ctrlProp4.xml><?xml version="1.0" encoding="utf-8"?>
<formControlPr xmlns="http://schemas.microsoft.com/office/spreadsheetml/2009/9/main" objectType="CheckBox" fmlaLink="$B$53" lockText="1" noThreeD="1"/>
</file>

<file path=xl/ctrlProps/ctrlProp5.xml><?xml version="1.0" encoding="utf-8"?>
<formControlPr xmlns="http://schemas.microsoft.com/office/spreadsheetml/2009/9/main" objectType="CheckBox" fmlaLink="I2"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BG$49" lockText="1" noThreeD="1"/>
</file>

<file path=xl/ctrlProps/ctrlProp8.xml><?xml version="1.0" encoding="utf-8"?>
<formControlPr xmlns="http://schemas.microsoft.com/office/spreadsheetml/2009/9/main" objectType="CheckBox" fmlaLink="$BI$43" lockText="1" noThreeD="1"/>
</file>

<file path=xl/ctrlProps/ctrlProp9.xml><?xml version="1.0" encoding="utf-8"?>
<formControlPr xmlns="http://schemas.microsoft.com/office/spreadsheetml/2009/9/main" objectType="CheckBox" fmlaLink="$BG$43" lockText="1" noThreeD="1"/>
</file>

<file path=xl/ctrlProps/ctrlProp10.xml><?xml version="1.0" encoding="utf-8"?>
<formControlPr xmlns="http://schemas.microsoft.com/office/spreadsheetml/2009/9/main" objectType="CheckBox" fmlaLink="$BG$45" lockText="1" noThreeD="1"/>
</file>

<file path=xl/ctrlProps/ctrlProp11.xml><?xml version="1.0" encoding="utf-8"?>
<formControlPr xmlns="http://schemas.microsoft.com/office/spreadsheetml/2009/9/main" objectType="CheckBox" fmlaLink="$BG$47" lockText="1" noThreeD="1"/>
</file>

<file path=xl/ctrlProps/ctrlProp12.xml><?xml version="1.0" encoding="utf-8"?>
<formControlPr xmlns="http://schemas.microsoft.com/office/spreadsheetml/2009/9/main" objectType="CheckBox" fmlaLink="$BH$43" lockText="1" noThreeD="1"/>
</file>

<file path=xl/ctrlProps/ctrlProp13.xml><?xml version="1.0" encoding="utf-8"?>
<formControlPr xmlns="http://schemas.microsoft.com/office/spreadsheetml/2009/9/main" objectType="CheckBox" fmlaLink="$BH$45" lockText="1" noThreeD="1"/>
</file>

<file path=xl/ctrlProps/ctrlProp14.xml><?xml version="1.0" encoding="utf-8"?>
<formControlPr xmlns="http://schemas.microsoft.com/office/spreadsheetml/2009/9/main" objectType="CheckBox" fmlaLink="$BH$47" lockText="1" noThreeD="1"/>
</file>

<file path=xl/ctrlProps/ctrlProp15.xml><?xml version="1.0" encoding="utf-8"?>
<formControlPr xmlns="http://schemas.microsoft.com/office/spreadsheetml/2009/9/main" objectType="CheckBox" fmlaLink="$BH$49" lockText="1" noThreeD="1"/>
</file>

<file path=xl/ctrlProps/ctrlProp16.xml><?xml version="1.0" encoding="utf-8"?>
<formControlPr xmlns="http://schemas.microsoft.com/office/spreadsheetml/2009/9/main" objectType="CheckBox" fmlaLink="$BI$45" lockText="1" noThreeD="1"/>
</file>

<file path=xl/ctrlProps/ctrlProp17.xml><?xml version="1.0" encoding="utf-8"?>
<formControlPr xmlns="http://schemas.microsoft.com/office/spreadsheetml/2009/9/main" objectType="CheckBox" fmlaLink="$BI$47" lockText="1" noThreeD="1"/>
</file>

<file path=xl/ctrlProps/ctrlProp18.xml><?xml version="1.0" encoding="utf-8"?>
<formControlPr xmlns="http://schemas.microsoft.com/office/spreadsheetml/2009/9/main" objectType="CheckBox" fmlaLink="$BJ$43" lockText="1" noThreeD="1"/>
</file>

<file path=xl/ctrlProps/ctrlProp19.xml><?xml version="1.0" encoding="utf-8"?>
<formControlPr xmlns="http://schemas.microsoft.com/office/spreadsheetml/2009/9/main" objectType="CheckBox" fmlaLink="$BJ$45" lockText="1" noThreeD="1"/>
</file>

<file path=xl/ctrlProps/ctrlProp20.xml><?xml version="1.0" encoding="utf-8"?>
<formControlPr xmlns="http://schemas.microsoft.com/office/spreadsheetml/2009/9/main" objectType="CheckBox" fmlaLink="$BJ$47" lockText="1" noThreeD="1"/>
</file>

<file path=xl/ctrlProps/ctrlProp21.xml><?xml version="1.0" encoding="utf-8"?>
<formControlPr xmlns="http://schemas.microsoft.com/office/spreadsheetml/2009/9/main" objectType="CheckBox" fmlaLink="$BG$55" lockText="1" noThreeD="1"/>
</file>

<file path=xl/ctrlProps/ctrlProp22.xml><?xml version="1.0" encoding="utf-8"?>
<formControlPr xmlns="http://schemas.microsoft.com/office/spreadsheetml/2009/9/main" objectType="CheckBox" fmlaLink="$BH$55" lockText="1" noThreeD="1"/>
</file>

<file path=xl/ctrlProps/ctrlProp23.xml><?xml version="1.0" encoding="utf-8"?>
<formControlPr xmlns="http://schemas.microsoft.com/office/spreadsheetml/2009/9/main" objectType="CheckBox" fmlaLink="$BG$58" lockText="1" noThreeD="1"/>
</file>

<file path=xl/ctrlProps/ctrlProp24.xml><?xml version="1.0" encoding="utf-8"?>
<formControlPr xmlns="http://schemas.microsoft.com/office/spreadsheetml/2009/9/main" objectType="CheckBox" fmlaLink="$BH$58" lockText="1" noThreeD="1"/>
</file>

<file path=xl/ctrlProps/ctrlProp25.xml><?xml version="1.0" encoding="utf-8"?>
<formControlPr xmlns="http://schemas.microsoft.com/office/spreadsheetml/2009/9/main" objectType="CheckBox" fmlaLink="$BG$61" lockText="1" noThreeD="1"/>
</file>

<file path=xl/ctrlProps/ctrlProp26.xml><?xml version="1.0" encoding="utf-8"?>
<formControlPr xmlns="http://schemas.microsoft.com/office/spreadsheetml/2009/9/main" objectType="CheckBox" fmlaLink="$BH$61" lockText="1" noThreeD="1"/>
</file>

<file path=xl/ctrlProps/ctrlProp27.xml><?xml version="1.0" encoding="utf-8"?>
<formControlPr xmlns="http://schemas.microsoft.com/office/spreadsheetml/2009/9/main" objectType="CheckBox" fmlaLink="$BG$68" lockText="1" noThreeD="1"/>
</file>

<file path=xl/ctrlProps/ctrlProp28.xml><?xml version="1.0" encoding="utf-8"?>
<formControlPr xmlns="http://schemas.microsoft.com/office/spreadsheetml/2009/9/main" objectType="CheckBox" fmlaLink="$BH$68" lockText="1" noThreeD="1"/>
</file>

<file path=xl/ctrlProps/ctrlProp29.xml><?xml version="1.0" encoding="utf-8"?>
<formControlPr xmlns="http://schemas.microsoft.com/office/spreadsheetml/2009/9/main" objectType="CheckBox" fmlaLink="$BG$72" lockText="1" noThreeD="1"/>
</file>

<file path=xl/ctrlProps/ctrlProp30.xml><?xml version="1.0" encoding="utf-8"?>
<formControlPr xmlns="http://schemas.microsoft.com/office/spreadsheetml/2009/9/main" objectType="CheckBox" fmlaLink="$BH$72" lockText="1" noThreeD="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CheckBox" fmlaLink="$BG$18" lockText="1" noThreeD="1"/>
</file>

<file path=xl/ctrlProps/ctrlProp33.xml><?xml version="1.0" encoding="utf-8"?>
<formControlPr xmlns="http://schemas.microsoft.com/office/spreadsheetml/2009/9/main" objectType="CheckBox" fmlaLink="$BG$19" lockText="1" noThreeD="1"/>
</file>

<file path=xl/ctrlProps/ctrlProp34.xml><?xml version="1.0" encoding="utf-8"?>
<formControlPr xmlns="http://schemas.microsoft.com/office/spreadsheetml/2009/9/main" objectType="CheckBox" fmlaLink="$BH$18" lockText="1" noThreeD="1"/>
</file>

<file path=xl/ctrlProps/ctrlProp35.xml><?xml version="1.0" encoding="utf-8"?>
<formControlPr xmlns="http://schemas.microsoft.com/office/spreadsheetml/2009/9/main" objectType="CheckBox" fmlaLink="$BH$19" lockText="1" noThreeD="1"/>
</file>

<file path=xl/ctrlProps/ctrlProp36.xml><?xml version="1.0" encoding="utf-8"?>
<formControlPr xmlns="http://schemas.microsoft.com/office/spreadsheetml/2009/9/main" objectType="CheckBox" fmlaLink="$BI$18" lockText="1" noThreeD="1"/>
</file>

<file path=xl/ctrlProps/ctrlProp37.xml><?xml version="1.0" encoding="utf-8"?>
<formControlPr xmlns="http://schemas.microsoft.com/office/spreadsheetml/2009/9/main" objectType="CheckBox" fmlaLink="$BI$19" lockText="1" noThreeD="1"/>
</file>

<file path=xl/ctrlProps/ctrlProp38.xml><?xml version="1.0" encoding="utf-8"?>
<formControlPr xmlns="http://schemas.microsoft.com/office/spreadsheetml/2009/9/main" objectType="CheckBox" fmlaLink="$BG$6" lockText="1" noThreeD="1"/>
</file>

<file path=xl/ctrlProps/ctrlProp39.xml><?xml version="1.0" encoding="utf-8"?>
<formControlPr xmlns="http://schemas.microsoft.com/office/spreadsheetml/2009/9/main" objectType="CheckBox" fmlaLink="$BG$7" lockText="1" noThreeD="1"/>
</file>

<file path=xl/ctrlProps/ctrlProp40.xml><?xml version="1.0" encoding="utf-8"?>
<formControlPr xmlns="http://schemas.microsoft.com/office/spreadsheetml/2009/9/main" objectType="CheckBox" fmlaLink="$BH$6" lockText="1" noThreeD="1"/>
</file>

<file path=xl/ctrlProps/ctrlProp41.xml><?xml version="1.0" encoding="utf-8"?>
<formControlPr xmlns="http://schemas.microsoft.com/office/spreadsheetml/2009/9/main" objectType="CheckBox" fmlaLink="$BH$7" lockText="1" noThreeD="1"/>
</file>

<file path=xl/ctrlProps/ctrlProp42.xml><?xml version="1.0" encoding="utf-8"?>
<formControlPr xmlns="http://schemas.microsoft.com/office/spreadsheetml/2009/9/main" objectType="CheckBox" fmlaLink="$BI$6" lockText="1" noThreeD="1"/>
</file>

<file path=xl/ctrlProps/ctrlProp43.xml><?xml version="1.0" encoding="utf-8"?>
<formControlPr xmlns="http://schemas.microsoft.com/office/spreadsheetml/2009/9/main" objectType="CheckBox" fmlaLink="$BI$7" lockText="1" noThreeD="1"/>
</file>

<file path=xl/ctrlProps/ctrlProp44.xml><?xml version="1.0" encoding="utf-8"?>
<formControlPr xmlns="http://schemas.microsoft.com/office/spreadsheetml/2009/9/main" objectType="CheckBox" fmlaLink="$BG$9" lockText="1" noThreeD="1"/>
</file>

<file path=xl/ctrlProps/ctrlProp45.xml><?xml version="1.0" encoding="utf-8"?>
<formControlPr xmlns="http://schemas.microsoft.com/office/spreadsheetml/2009/9/main" objectType="CheckBox" fmlaLink="$BG$10" lockText="1" noThreeD="1"/>
</file>

<file path=xl/ctrlProps/ctrlProp46.xml><?xml version="1.0" encoding="utf-8"?>
<formControlPr xmlns="http://schemas.microsoft.com/office/spreadsheetml/2009/9/main" objectType="CheckBox" fmlaLink="$BH$9" lockText="1" noThreeD="1"/>
</file>

<file path=xl/ctrlProps/ctrlProp47.xml><?xml version="1.0" encoding="utf-8"?>
<formControlPr xmlns="http://schemas.microsoft.com/office/spreadsheetml/2009/9/main" objectType="CheckBox" fmlaLink="$BH$10" lockText="1" noThreeD="1"/>
</file>

<file path=xl/ctrlProps/ctrlProp48.xml><?xml version="1.0" encoding="utf-8"?>
<formControlPr xmlns="http://schemas.microsoft.com/office/spreadsheetml/2009/9/main" objectType="CheckBox" fmlaLink="$BI$9" lockText="1" noThreeD="1"/>
</file>

<file path=xl/ctrlProps/ctrlProp49.xml><?xml version="1.0" encoding="utf-8"?>
<formControlPr xmlns="http://schemas.microsoft.com/office/spreadsheetml/2009/9/main" objectType="CheckBox" fmlaLink="$BI$10" lockText="1" noThreeD="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CheckBox" fmlaLink="$BF$24" lockText="1" noThreeD="1"/>
</file>

<file path=xl/ctrlProps/ctrlProp52.xml><?xml version="1.0" encoding="utf-8"?>
<formControlPr xmlns="http://schemas.microsoft.com/office/spreadsheetml/2009/9/main" objectType="CheckBox" fmlaLink="$BG$24" lockText="1" noThreeD="1"/>
</file>

<file path=xl/ctrlProps/ctrlProp5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microsoft.com/office/2007/relationships/hdphoto" Target="../media/hdphoto1.wdp"/><Relationship Id="rId1" Type="http://schemas.openxmlformats.org/officeDocument/2006/relationships/image" Target="../media/image9.png"/></Relationships>
</file>

<file path=xl/drawings/_rels/drawing3.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3.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16.jpeg"/><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xdr:from>
      <xdr:col>0</xdr:col>
      <xdr:colOff>376604</xdr:colOff>
      <xdr:row>5</xdr:row>
      <xdr:rowOff>169984</xdr:rowOff>
    </xdr:from>
    <xdr:to>
      <xdr:col>6</xdr:col>
      <xdr:colOff>557579</xdr:colOff>
      <xdr:row>29</xdr:row>
      <xdr:rowOff>158237</xdr:rowOff>
    </xdr:to>
    <xdr:pic>
      <xdr:nvPicPr>
        <xdr:cNvPr id="2" name="Picture 1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76604" y="1389184"/>
          <a:ext cx="3838575" cy="3960178"/>
        </a:xfrm>
        <a:prstGeom prst="rect">
          <a:avLst/>
        </a:prstGeom>
        <a:noFill/>
        <a:ln w="9525">
          <a:noFill/>
          <a:miter lim="800000"/>
          <a:headEnd/>
          <a:tailEnd/>
        </a:ln>
      </xdr:spPr>
    </xdr:pic>
    <xdr:clientData/>
  </xdr:twoCellAnchor>
  <xdr:twoCellAnchor>
    <xdr:from>
      <xdr:col>11</xdr:col>
      <xdr:colOff>200025</xdr:colOff>
      <xdr:row>5</xdr:row>
      <xdr:rowOff>142875</xdr:rowOff>
    </xdr:from>
    <xdr:to>
      <xdr:col>17</xdr:col>
      <xdr:colOff>209550</xdr:colOff>
      <xdr:row>30</xdr:row>
      <xdr:rowOff>134382</xdr:rowOff>
    </xdr:to>
    <xdr:pic>
      <xdr:nvPicPr>
        <xdr:cNvPr id="3" name="Picture 14">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905625" y="1362075"/>
          <a:ext cx="3667125" cy="4125357"/>
        </a:xfrm>
        <a:prstGeom prst="rect">
          <a:avLst/>
        </a:prstGeom>
        <a:noFill/>
        <a:ln w="9525">
          <a:noFill/>
          <a:miter lim="800000"/>
          <a:headEnd/>
          <a:tailEnd/>
        </a:ln>
      </xdr:spPr>
    </xdr:pic>
    <xdr:clientData/>
  </xdr:twoCellAnchor>
  <xdr:twoCellAnchor editAs="oneCell">
    <xdr:from>
      <xdr:col>0</xdr:col>
      <xdr:colOff>0</xdr:colOff>
      <xdr:row>60</xdr:row>
      <xdr:rowOff>47626</xdr:rowOff>
    </xdr:from>
    <xdr:to>
      <xdr:col>9</xdr:col>
      <xdr:colOff>533494</xdr:colOff>
      <xdr:row>81</xdr:row>
      <xdr:rowOff>28576</xdr:rowOff>
    </xdr:to>
    <xdr:pic>
      <xdr:nvPicPr>
        <xdr:cNvPr id="4" name="Picture 1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0" y="10858501"/>
          <a:ext cx="6019894" cy="3381375"/>
        </a:xfrm>
        <a:prstGeom prst="rect">
          <a:avLst/>
        </a:prstGeom>
        <a:noFill/>
      </xdr:spPr>
    </xdr:pic>
    <xdr:clientData/>
  </xdr:twoCellAnchor>
  <xdr:twoCellAnchor editAs="oneCell">
    <xdr:from>
      <xdr:col>0</xdr:col>
      <xdr:colOff>1</xdr:colOff>
      <xdr:row>33</xdr:row>
      <xdr:rowOff>1</xdr:rowOff>
    </xdr:from>
    <xdr:to>
      <xdr:col>9</xdr:col>
      <xdr:colOff>466725</xdr:colOff>
      <xdr:row>56</xdr:row>
      <xdr:rowOff>9526</xdr:rowOff>
    </xdr:to>
    <xdr:pic>
      <xdr:nvPicPr>
        <xdr:cNvPr id="5" name="Picture 15">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1" y="6086476"/>
          <a:ext cx="5953124" cy="3733800"/>
        </a:xfrm>
        <a:prstGeom prst="rect">
          <a:avLst/>
        </a:prstGeom>
        <a:noFill/>
      </xdr:spPr>
    </xdr:pic>
    <xdr:clientData/>
  </xdr:twoCellAnchor>
  <xdr:twoCellAnchor editAs="oneCell">
    <xdr:from>
      <xdr:col>10</xdr:col>
      <xdr:colOff>245969</xdr:colOff>
      <xdr:row>33</xdr:row>
      <xdr:rowOff>36980</xdr:rowOff>
    </xdr:from>
    <xdr:to>
      <xdr:col>20</xdr:col>
      <xdr:colOff>542435</xdr:colOff>
      <xdr:row>56</xdr:row>
      <xdr:rowOff>31377</xdr:rowOff>
    </xdr:to>
    <xdr:pic>
      <xdr:nvPicPr>
        <xdr:cNvPr id="6" name="Picture 17">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6341969" y="6123455"/>
          <a:ext cx="6392466" cy="3718672"/>
        </a:xfrm>
        <a:prstGeom prst="rect">
          <a:avLst/>
        </a:prstGeom>
        <a:noFill/>
      </xdr:spPr>
    </xdr:pic>
    <xdr:clientData/>
  </xdr:twoCellAnchor>
  <xdr:twoCellAnchor editAs="oneCell">
    <xdr:from>
      <xdr:col>10</xdr:col>
      <xdr:colOff>179294</xdr:colOff>
      <xdr:row>60</xdr:row>
      <xdr:rowOff>29694</xdr:rowOff>
    </xdr:from>
    <xdr:to>
      <xdr:col>21</xdr:col>
      <xdr:colOff>512669</xdr:colOff>
      <xdr:row>80</xdr:row>
      <xdr:rowOff>148478</xdr:rowOff>
    </xdr:to>
    <xdr:pic>
      <xdr:nvPicPr>
        <xdr:cNvPr id="7" name="Picture 19">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6275294" y="10840569"/>
          <a:ext cx="7038975" cy="3357284"/>
        </a:xfrm>
        <a:prstGeom prst="rect">
          <a:avLst/>
        </a:prstGeom>
        <a:noFill/>
      </xdr:spPr>
    </xdr:pic>
    <xdr:clientData/>
  </xdr:twoCellAnchor>
  <xdr:twoCellAnchor editAs="oneCell">
    <xdr:from>
      <xdr:col>10</xdr:col>
      <xdr:colOff>247650</xdr:colOff>
      <xdr:row>83</xdr:row>
      <xdr:rowOff>152400</xdr:rowOff>
    </xdr:from>
    <xdr:to>
      <xdr:col>22</xdr:col>
      <xdr:colOff>104775</xdr:colOff>
      <xdr:row>102</xdr:row>
      <xdr:rowOff>9525</xdr:rowOff>
    </xdr:to>
    <xdr:pic>
      <xdr:nvPicPr>
        <xdr:cNvPr id="8" name="Picture 21">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7" cstate="print"/>
        <a:srcRect/>
        <a:stretch>
          <a:fillRect/>
        </a:stretch>
      </xdr:blipFill>
      <xdr:spPr bwMode="auto">
        <a:xfrm>
          <a:off x="6343650" y="15144750"/>
          <a:ext cx="7172325" cy="2933700"/>
        </a:xfrm>
        <a:prstGeom prst="rect">
          <a:avLst/>
        </a:prstGeom>
        <a:noFill/>
      </xdr:spPr>
    </xdr:pic>
    <xdr:clientData/>
  </xdr:twoCellAnchor>
  <xdr:twoCellAnchor editAs="oneCell">
    <xdr:from>
      <xdr:col>0</xdr:col>
      <xdr:colOff>1</xdr:colOff>
      <xdr:row>83</xdr:row>
      <xdr:rowOff>142875</xdr:rowOff>
    </xdr:from>
    <xdr:to>
      <xdr:col>10</xdr:col>
      <xdr:colOff>95251</xdr:colOff>
      <xdr:row>102</xdr:row>
      <xdr:rowOff>28575</xdr:rowOff>
    </xdr:to>
    <xdr:pic>
      <xdr:nvPicPr>
        <xdr:cNvPr id="9" name="Picture 23">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8" cstate="print"/>
        <a:srcRect/>
        <a:stretch>
          <a:fillRect/>
        </a:stretch>
      </xdr:blipFill>
      <xdr:spPr bwMode="auto">
        <a:xfrm>
          <a:off x="1" y="15135225"/>
          <a:ext cx="6191250" cy="2962275"/>
        </a:xfrm>
        <a:prstGeom prst="rect">
          <a:avLst/>
        </a:prstGeom>
        <a:noFill/>
      </xdr:spPr>
    </xdr:pic>
    <xdr:clientData/>
  </xdr:twoCellAnchor>
  <xdr:twoCellAnchor>
    <xdr:from>
      <xdr:col>1</xdr:col>
      <xdr:colOff>419100</xdr:colOff>
      <xdr:row>46</xdr:row>
      <xdr:rowOff>28575</xdr:rowOff>
    </xdr:from>
    <xdr:to>
      <xdr:col>2</xdr:col>
      <xdr:colOff>19050</xdr:colOff>
      <xdr:row>50</xdr:row>
      <xdr:rowOff>28575</xdr:rowOff>
    </xdr:to>
    <xdr:cxnSp macro="">
      <xdr:nvCxnSpPr>
        <xdr:cNvPr id="10" name="Straight Arrow Connector 21">
          <a:extLst>
            <a:ext uri="{FF2B5EF4-FFF2-40B4-BE49-F238E27FC236}">
              <a16:creationId xmlns:a16="http://schemas.microsoft.com/office/drawing/2014/main" id="{00000000-0008-0000-0100-00000A000000}"/>
            </a:ext>
          </a:extLst>
        </xdr:cNvPr>
        <xdr:cNvCxnSpPr/>
      </xdr:nvCxnSpPr>
      <xdr:spPr bwMode="auto">
        <a:xfrm rot="16200000" flipV="1">
          <a:off x="809625" y="8439150"/>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409575</xdr:colOff>
      <xdr:row>44</xdr:row>
      <xdr:rowOff>152400</xdr:rowOff>
    </xdr:from>
    <xdr:to>
      <xdr:col>12</xdr:col>
      <xdr:colOff>9525</xdr:colOff>
      <xdr:row>48</xdr:row>
      <xdr:rowOff>152400</xdr:rowOff>
    </xdr:to>
    <xdr:cxnSp macro="">
      <xdr:nvCxnSpPr>
        <xdr:cNvPr id="11" name="Straight Arrow Connector 22">
          <a:extLst>
            <a:ext uri="{FF2B5EF4-FFF2-40B4-BE49-F238E27FC236}">
              <a16:creationId xmlns:a16="http://schemas.microsoft.com/office/drawing/2014/main" id="{00000000-0008-0000-0100-00000B000000}"/>
            </a:ext>
          </a:extLst>
        </xdr:cNvPr>
        <xdr:cNvCxnSpPr/>
      </xdr:nvCxnSpPr>
      <xdr:spPr bwMode="auto">
        <a:xfrm rot="16200000" flipV="1">
          <a:off x="6896100" y="8239125"/>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2</xdr:col>
      <xdr:colOff>0</xdr:colOff>
      <xdr:row>71</xdr:row>
      <xdr:rowOff>28576</xdr:rowOff>
    </xdr:from>
    <xdr:to>
      <xdr:col>2</xdr:col>
      <xdr:colOff>209550</xdr:colOff>
      <xdr:row>75</xdr:row>
      <xdr:rowOff>28576</xdr:rowOff>
    </xdr:to>
    <xdr:cxnSp macro="">
      <xdr:nvCxnSpPr>
        <xdr:cNvPr id="12" name="Straight Arrow Connector 23">
          <a:extLst>
            <a:ext uri="{FF2B5EF4-FFF2-40B4-BE49-F238E27FC236}">
              <a16:creationId xmlns:a16="http://schemas.microsoft.com/office/drawing/2014/main" id="{00000000-0008-0000-0100-00000C000000}"/>
            </a:ext>
          </a:extLst>
        </xdr:cNvPr>
        <xdr:cNvCxnSpPr/>
      </xdr:nvCxnSpPr>
      <xdr:spPr bwMode="auto">
        <a:xfrm rot="16200000" flipV="1">
          <a:off x="1000125" y="12839701"/>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523875</xdr:colOff>
      <xdr:row>71</xdr:row>
      <xdr:rowOff>104774</xdr:rowOff>
    </xdr:from>
    <xdr:to>
      <xdr:col>12</xdr:col>
      <xdr:colOff>123825</xdr:colOff>
      <xdr:row>75</xdr:row>
      <xdr:rowOff>104774</xdr:rowOff>
    </xdr:to>
    <xdr:cxnSp macro="">
      <xdr:nvCxnSpPr>
        <xdr:cNvPr id="13" name="Straight Arrow Connector 24">
          <a:extLst>
            <a:ext uri="{FF2B5EF4-FFF2-40B4-BE49-F238E27FC236}">
              <a16:creationId xmlns:a16="http://schemas.microsoft.com/office/drawing/2014/main" id="{00000000-0008-0000-0100-00000D000000}"/>
            </a:ext>
          </a:extLst>
        </xdr:cNvPr>
        <xdr:cNvCxnSpPr/>
      </xdr:nvCxnSpPr>
      <xdr:spPr bwMode="auto">
        <a:xfrm rot="16200000" flipV="1">
          <a:off x="7010400" y="12915899"/>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438151</xdr:colOff>
      <xdr:row>92</xdr:row>
      <xdr:rowOff>57150</xdr:rowOff>
    </xdr:from>
    <xdr:to>
      <xdr:col>2</xdr:col>
      <xdr:colOff>38101</xdr:colOff>
      <xdr:row>96</xdr:row>
      <xdr:rowOff>57150</xdr:rowOff>
    </xdr:to>
    <xdr:cxnSp macro="">
      <xdr:nvCxnSpPr>
        <xdr:cNvPr id="14" name="Straight Arrow Connector 25">
          <a:extLst>
            <a:ext uri="{FF2B5EF4-FFF2-40B4-BE49-F238E27FC236}">
              <a16:creationId xmlns:a16="http://schemas.microsoft.com/office/drawing/2014/main" id="{00000000-0008-0000-0100-00000E000000}"/>
            </a:ext>
          </a:extLst>
        </xdr:cNvPr>
        <xdr:cNvCxnSpPr/>
      </xdr:nvCxnSpPr>
      <xdr:spPr bwMode="auto">
        <a:xfrm rot="16200000" flipV="1">
          <a:off x="828676" y="16725900"/>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11</xdr:col>
      <xdr:colOff>581025</xdr:colOff>
      <xdr:row>92</xdr:row>
      <xdr:rowOff>123825</xdr:rowOff>
    </xdr:from>
    <xdr:to>
      <xdr:col>12</xdr:col>
      <xdr:colOff>180975</xdr:colOff>
      <xdr:row>96</xdr:row>
      <xdr:rowOff>123825</xdr:rowOff>
    </xdr:to>
    <xdr:cxnSp macro="">
      <xdr:nvCxnSpPr>
        <xdr:cNvPr id="15" name="Straight Arrow Connector 26">
          <a:extLst>
            <a:ext uri="{FF2B5EF4-FFF2-40B4-BE49-F238E27FC236}">
              <a16:creationId xmlns:a16="http://schemas.microsoft.com/office/drawing/2014/main" id="{00000000-0008-0000-0100-00000F000000}"/>
            </a:ext>
          </a:extLst>
        </xdr:cNvPr>
        <xdr:cNvCxnSpPr/>
      </xdr:nvCxnSpPr>
      <xdr:spPr bwMode="auto">
        <a:xfrm rot="16200000" flipV="1">
          <a:off x="7067550" y="16792575"/>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257175</xdr:colOff>
      <xdr:row>8</xdr:row>
      <xdr:rowOff>85725</xdr:rowOff>
    </xdr:from>
    <xdr:to>
      <xdr:col>1</xdr:col>
      <xdr:colOff>466725</xdr:colOff>
      <xdr:row>12</xdr:row>
      <xdr:rowOff>85725</xdr:rowOff>
    </xdr:to>
    <xdr:cxnSp macro="">
      <xdr:nvCxnSpPr>
        <xdr:cNvPr id="16" name="Straight Arrow Connector 27">
          <a:extLst>
            <a:ext uri="{FF2B5EF4-FFF2-40B4-BE49-F238E27FC236}">
              <a16:creationId xmlns:a16="http://schemas.microsoft.com/office/drawing/2014/main" id="{00000000-0008-0000-0100-000010000000}"/>
            </a:ext>
          </a:extLst>
        </xdr:cNvPr>
        <xdr:cNvCxnSpPr/>
      </xdr:nvCxnSpPr>
      <xdr:spPr bwMode="auto">
        <a:xfrm rot="16200000" flipV="1">
          <a:off x="647700" y="2095500"/>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171450</xdr:colOff>
      <xdr:row>7</xdr:row>
      <xdr:rowOff>104775</xdr:rowOff>
    </xdr:from>
    <xdr:to>
      <xdr:col>12</xdr:col>
      <xdr:colOff>381000</xdr:colOff>
      <xdr:row>11</xdr:row>
      <xdr:rowOff>104775</xdr:rowOff>
    </xdr:to>
    <xdr:cxnSp macro="">
      <xdr:nvCxnSpPr>
        <xdr:cNvPr id="17" name="Straight Arrow Connector 28">
          <a:extLst>
            <a:ext uri="{FF2B5EF4-FFF2-40B4-BE49-F238E27FC236}">
              <a16:creationId xmlns:a16="http://schemas.microsoft.com/office/drawing/2014/main" id="{00000000-0008-0000-0100-000011000000}"/>
            </a:ext>
          </a:extLst>
        </xdr:cNvPr>
        <xdr:cNvCxnSpPr/>
      </xdr:nvCxnSpPr>
      <xdr:spPr bwMode="auto">
        <a:xfrm rot="16200000" flipV="1">
          <a:off x="7267575" y="1952625"/>
          <a:ext cx="647700" cy="209550"/>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66676</xdr:colOff>
      <xdr:row>23</xdr:row>
      <xdr:rowOff>142878</xdr:rowOff>
    </xdr:from>
    <xdr:to>
      <xdr:col>4</xdr:col>
      <xdr:colOff>400050</xdr:colOff>
      <xdr:row>27</xdr:row>
      <xdr:rowOff>152402</xdr:rowOff>
    </xdr:to>
    <xdr:cxnSp macro="">
      <xdr:nvCxnSpPr>
        <xdr:cNvPr id="18" name="Straight Arrow Connector 29">
          <a:extLst>
            <a:ext uri="{FF2B5EF4-FFF2-40B4-BE49-F238E27FC236}">
              <a16:creationId xmlns:a16="http://schemas.microsoft.com/office/drawing/2014/main" id="{00000000-0008-0000-0100-000012000000}"/>
            </a:ext>
          </a:extLst>
        </xdr:cNvPr>
        <xdr:cNvCxnSpPr/>
      </xdr:nvCxnSpPr>
      <xdr:spPr bwMode="auto">
        <a:xfrm rot="5400000">
          <a:off x="2343151" y="4524378"/>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15</xdr:col>
      <xdr:colOff>342900</xdr:colOff>
      <xdr:row>22</xdr:row>
      <xdr:rowOff>95250</xdr:rowOff>
    </xdr:from>
    <xdr:to>
      <xdr:col>16</xdr:col>
      <xdr:colOff>66674</xdr:colOff>
      <xdr:row>26</xdr:row>
      <xdr:rowOff>104774</xdr:rowOff>
    </xdr:to>
    <xdr:cxnSp macro="">
      <xdr:nvCxnSpPr>
        <xdr:cNvPr id="19" name="Straight Arrow Connector 30">
          <a:extLst>
            <a:ext uri="{FF2B5EF4-FFF2-40B4-BE49-F238E27FC236}">
              <a16:creationId xmlns:a16="http://schemas.microsoft.com/office/drawing/2014/main" id="{00000000-0008-0000-0100-000013000000}"/>
            </a:ext>
          </a:extLst>
        </xdr:cNvPr>
        <xdr:cNvCxnSpPr/>
      </xdr:nvCxnSpPr>
      <xdr:spPr bwMode="auto">
        <a:xfrm rot="5400000">
          <a:off x="9324975" y="4314825"/>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209550</xdr:colOff>
      <xdr:row>65</xdr:row>
      <xdr:rowOff>47626</xdr:rowOff>
    </xdr:from>
    <xdr:to>
      <xdr:col>3</xdr:col>
      <xdr:colOff>542924</xdr:colOff>
      <xdr:row>69</xdr:row>
      <xdr:rowOff>57150</xdr:rowOff>
    </xdr:to>
    <xdr:cxnSp macro="">
      <xdr:nvCxnSpPr>
        <xdr:cNvPr id="20" name="Straight Arrow Connector 31">
          <a:extLst>
            <a:ext uri="{FF2B5EF4-FFF2-40B4-BE49-F238E27FC236}">
              <a16:creationId xmlns:a16="http://schemas.microsoft.com/office/drawing/2014/main" id="{00000000-0008-0000-0100-000014000000}"/>
            </a:ext>
          </a:extLst>
        </xdr:cNvPr>
        <xdr:cNvCxnSpPr/>
      </xdr:nvCxnSpPr>
      <xdr:spPr bwMode="auto">
        <a:xfrm rot="5400000">
          <a:off x="1876425" y="11830051"/>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600075</xdr:colOff>
      <xdr:row>65</xdr:row>
      <xdr:rowOff>66674</xdr:rowOff>
    </xdr:from>
    <xdr:to>
      <xdr:col>13</xdr:col>
      <xdr:colOff>323849</xdr:colOff>
      <xdr:row>69</xdr:row>
      <xdr:rowOff>76198</xdr:rowOff>
    </xdr:to>
    <xdr:cxnSp macro="">
      <xdr:nvCxnSpPr>
        <xdr:cNvPr id="21" name="Straight Arrow Connector 32">
          <a:extLst>
            <a:ext uri="{FF2B5EF4-FFF2-40B4-BE49-F238E27FC236}">
              <a16:creationId xmlns:a16="http://schemas.microsoft.com/office/drawing/2014/main" id="{00000000-0008-0000-0100-000015000000}"/>
            </a:ext>
          </a:extLst>
        </xdr:cNvPr>
        <xdr:cNvCxnSpPr/>
      </xdr:nvCxnSpPr>
      <xdr:spPr bwMode="auto">
        <a:xfrm rot="5400000">
          <a:off x="7753350" y="11849099"/>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381001</xdr:colOff>
      <xdr:row>88</xdr:row>
      <xdr:rowOff>76200</xdr:rowOff>
    </xdr:from>
    <xdr:to>
      <xdr:col>4</xdr:col>
      <xdr:colOff>104775</xdr:colOff>
      <xdr:row>92</xdr:row>
      <xdr:rowOff>85724</xdr:rowOff>
    </xdr:to>
    <xdr:cxnSp macro="">
      <xdr:nvCxnSpPr>
        <xdr:cNvPr id="22" name="Straight Arrow Connector 33">
          <a:extLst>
            <a:ext uri="{FF2B5EF4-FFF2-40B4-BE49-F238E27FC236}">
              <a16:creationId xmlns:a16="http://schemas.microsoft.com/office/drawing/2014/main" id="{00000000-0008-0000-0100-000016000000}"/>
            </a:ext>
          </a:extLst>
        </xdr:cNvPr>
        <xdr:cNvCxnSpPr/>
      </xdr:nvCxnSpPr>
      <xdr:spPr bwMode="auto">
        <a:xfrm rot="5400000">
          <a:off x="2047876" y="16040100"/>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13</xdr:col>
      <xdr:colOff>113179</xdr:colOff>
      <xdr:row>88</xdr:row>
      <xdr:rowOff>69477</xdr:rowOff>
    </xdr:from>
    <xdr:to>
      <xdr:col>13</xdr:col>
      <xdr:colOff>446553</xdr:colOff>
      <xdr:row>92</xdr:row>
      <xdr:rowOff>79001</xdr:rowOff>
    </xdr:to>
    <xdr:cxnSp macro="">
      <xdr:nvCxnSpPr>
        <xdr:cNvPr id="23" name="Straight Arrow Connector 34">
          <a:extLst>
            <a:ext uri="{FF2B5EF4-FFF2-40B4-BE49-F238E27FC236}">
              <a16:creationId xmlns:a16="http://schemas.microsoft.com/office/drawing/2014/main" id="{00000000-0008-0000-0100-000017000000}"/>
            </a:ext>
          </a:extLst>
        </xdr:cNvPr>
        <xdr:cNvCxnSpPr/>
      </xdr:nvCxnSpPr>
      <xdr:spPr bwMode="auto">
        <a:xfrm rot="5400000">
          <a:off x="7876054" y="16033377"/>
          <a:ext cx="657224" cy="333374"/>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8</xdr:col>
      <xdr:colOff>290559</xdr:colOff>
      <xdr:row>46</xdr:row>
      <xdr:rowOff>12000</xdr:rowOff>
    </xdr:from>
    <xdr:to>
      <xdr:col>8</xdr:col>
      <xdr:colOff>292147</xdr:colOff>
      <xdr:row>49</xdr:row>
      <xdr:rowOff>124059</xdr:rowOff>
    </xdr:to>
    <xdr:cxnSp macro="">
      <xdr:nvCxnSpPr>
        <xdr:cNvPr id="24" name="Straight Arrow Connector 35">
          <a:extLst>
            <a:ext uri="{FF2B5EF4-FFF2-40B4-BE49-F238E27FC236}">
              <a16:creationId xmlns:a16="http://schemas.microsoft.com/office/drawing/2014/main" id="{00000000-0008-0000-0100-000018000000}"/>
            </a:ext>
          </a:extLst>
        </xdr:cNvPr>
        <xdr:cNvCxnSpPr/>
      </xdr:nvCxnSpPr>
      <xdr:spPr bwMode="auto">
        <a:xfrm rot="5400000">
          <a:off x="4869236" y="8501623"/>
          <a:ext cx="59783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19</xdr:col>
      <xdr:colOff>458881</xdr:colOff>
      <xdr:row>43</xdr:row>
      <xdr:rowOff>151840</xdr:rowOff>
    </xdr:from>
    <xdr:to>
      <xdr:col>19</xdr:col>
      <xdr:colOff>460469</xdr:colOff>
      <xdr:row>47</xdr:row>
      <xdr:rowOff>107017</xdr:rowOff>
    </xdr:to>
    <xdr:cxnSp macro="">
      <xdr:nvCxnSpPr>
        <xdr:cNvPr id="25" name="Straight Arrow Connector 36">
          <a:extLst>
            <a:ext uri="{FF2B5EF4-FFF2-40B4-BE49-F238E27FC236}">
              <a16:creationId xmlns:a16="http://schemas.microsoft.com/office/drawing/2014/main" id="{00000000-0008-0000-0100-000019000000}"/>
            </a:ext>
          </a:extLst>
        </xdr:cNvPr>
        <xdr:cNvCxnSpPr/>
      </xdr:nvCxnSpPr>
      <xdr:spPr bwMode="auto">
        <a:xfrm rot="5400000">
          <a:off x="11740636" y="8158210"/>
          <a:ext cx="602877"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560294</xdr:colOff>
      <xdr:row>79</xdr:row>
      <xdr:rowOff>67235</xdr:rowOff>
    </xdr:from>
    <xdr:to>
      <xdr:col>7</xdr:col>
      <xdr:colOff>224117</xdr:colOff>
      <xdr:row>79</xdr:row>
      <xdr:rowOff>68823</xdr:rowOff>
    </xdr:to>
    <xdr:cxnSp macro="">
      <xdr:nvCxnSpPr>
        <xdr:cNvPr id="26" name="Straight Arrow Connector 37">
          <a:extLst>
            <a:ext uri="{FF2B5EF4-FFF2-40B4-BE49-F238E27FC236}">
              <a16:creationId xmlns:a16="http://schemas.microsoft.com/office/drawing/2014/main" id="{00000000-0008-0000-0100-00001A000000}"/>
            </a:ext>
          </a:extLst>
        </xdr:cNvPr>
        <xdr:cNvCxnSpPr/>
      </xdr:nvCxnSpPr>
      <xdr:spPr bwMode="auto">
        <a:xfrm>
          <a:off x="3608294" y="13954685"/>
          <a:ext cx="883023"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17</xdr:col>
      <xdr:colOff>403412</xdr:colOff>
      <xdr:row>80</xdr:row>
      <xdr:rowOff>1120</xdr:rowOff>
    </xdr:from>
    <xdr:to>
      <xdr:col>19</xdr:col>
      <xdr:colOff>67236</xdr:colOff>
      <xdr:row>80</xdr:row>
      <xdr:rowOff>2708</xdr:rowOff>
    </xdr:to>
    <xdr:cxnSp macro="">
      <xdr:nvCxnSpPr>
        <xdr:cNvPr id="27" name="Straight Arrow Connector 38">
          <a:extLst>
            <a:ext uri="{FF2B5EF4-FFF2-40B4-BE49-F238E27FC236}">
              <a16:creationId xmlns:a16="http://schemas.microsoft.com/office/drawing/2014/main" id="{00000000-0008-0000-0100-00001B000000}"/>
            </a:ext>
          </a:extLst>
        </xdr:cNvPr>
        <xdr:cNvCxnSpPr/>
      </xdr:nvCxnSpPr>
      <xdr:spPr bwMode="auto">
        <a:xfrm>
          <a:off x="10766612" y="14050495"/>
          <a:ext cx="88302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6</xdr:col>
      <xdr:colOff>190501</xdr:colOff>
      <xdr:row>101</xdr:row>
      <xdr:rowOff>1121</xdr:rowOff>
    </xdr:from>
    <xdr:to>
      <xdr:col>7</xdr:col>
      <xdr:colOff>459442</xdr:colOff>
      <xdr:row>101</xdr:row>
      <xdr:rowOff>2709</xdr:rowOff>
    </xdr:to>
    <xdr:cxnSp macro="">
      <xdr:nvCxnSpPr>
        <xdr:cNvPr id="28" name="Straight Arrow Connector 39">
          <a:extLst>
            <a:ext uri="{FF2B5EF4-FFF2-40B4-BE49-F238E27FC236}">
              <a16:creationId xmlns:a16="http://schemas.microsoft.com/office/drawing/2014/main" id="{00000000-0008-0000-0100-00001C000000}"/>
            </a:ext>
          </a:extLst>
        </xdr:cNvPr>
        <xdr:cNvCxnSpPr/>
      </xdr:nvCxnSpPr>
      <xdr:spPr bwMode="auto">
        <a:xfrm>
          <a:off x="3848101" y="17908121"/>
          <a:ext cx="878541"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17</xdr:col>
      <xdr:colOff>561415</xdr:colOff>
      <xdr:row>100</xdr:row>
      <xdr:rowOff>107016</xdr:rowOff>
    </xdr:from>
    <xdr:to>
      <xdr:col>19</xdr:col>
      <xdr:colOff>225239</xdr:colOff>
      <xdr:row>100</xdr:row>
      <xdr:rowOff>108604</xdr:rowOff>
    </xdr:to>
    <xdr:cxnSp macro="">
      <xdr:nvCxnSpPr>
        <xdr:cNvPr id="29" name="Straight Arrow Connector 40">
          <a:extLst>
            <a:ext uri="{FF2B5EF4-FFF2-40B4-BE49-F238E27FC236}">
              <a16:creationId xmlns:a16="http://schemas.microsoft.com/office/drawing/2014/main" id="{00000000-0008-0000-0100-00001D000000}"/>
            </a:ext>
          </a:extLst>
        </xdr:cNvPr>
        <xdr:cNvCxnSpPr/>
      </xdr:nvCxnSpPr>
      <xdr:spPr bwMode="auto">
        <a:xfrm>
          <a:off x="10924615" y="17852091"/>
          <a:ext cx="883024" cy="1588"/>
        </a:xfrm>
        <a:prstGeom prst="straightConnector1">
          <a:avLst/>
        </a:prstGeom>
        <a:ln>
          <a:solidFill>
            <a:srgbClr val="FF0000"/>
          </a:solidFill>
          <a:headEnd type="none" w="med" len="med"/>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1988820</xdr:colOff>
          <xdr:row>10</xdr:row>
          <xdr:rowOff>7620</xdr:rowOff>
        </xdr:from>
        <xdr:to>
          <xdr:col>1</xdr:col>
          <xdr:colOff>2293620</xdr:colOff>
          <xdr:row>10</xdr:row>
          <xdr:rowOff>236220</xdr:rowOff>
        </xdr:to>
        <xdr:sp macro="" textlink="">
          <xdr:nvSpPr>
            <xdr:cNvPr id="3427" name="Check Box 355" hidden="1">
              <a:extLst>
                <a:ext uri="{63B3BB69-23CF-44E3-9099-C40C66FF867C}">
                  <a14:compatExt spid="_x0000_s3427"/>
                </a:ext>
                <a:ext uri="{FF2B5EF4-FFF2-40B4-BE49-F238E27FC236}">
                  <a16:creationId xmlns:a16="http://schemas.microsoft.com/office/drawing/2014/main" id="{00000000-0008-0000-0200-00006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31</xdr:row>
          <xdr:rowOff>7620</xdr:rowOff>
        </xdr:from>
        <xdr:to>
          <xdr:col>2</xdr:col>
          <xdr:colOff>1143000</xdr:colOff>
          <xdr:row>31</xdr:row>
          <xdr:rowOff>236220</xdr:rowOff>
        </xdr:to>
        <xdr:sp macro="" textlink="">
          <xdr:nvSpPr>
            <xdr:cNvPr id="3432" name="Check Box 360" hidden="1">
              <a:extLst>
                <a:ext uri="{63B3BB69-23CF-44E3-9099-C40C66FF867C}">
                  <a14:compatExt spid="_x0000_s3432"/>
                </a:ext>
                <a:ext uri="{FF2B5EF4-FFF2-40B4-BE49-F238E27FC236}">
                  <a16:creationId xmlns:a16="http://schemas.microsoft.com/office/drawing/2014/main" id="{00000000-0008-0000-0200-00006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30</xdr:row>
          <xdr:rowOff>175260</xdr:rowOff>
        </xdr:from>
        <xdr:to>
          <xdr:col>3</xdr:col>
          <xdr:colOff>1173480</xdr:colOff>
          <xdr:row>32</xdr:row>
          <xdr:rowOff>7620</xdr:rowOff>
        </xdr:to>
        <xdr:sp macro="" textlink="">
          <xdr:nvSpPr>
            <xdr:cNvPr id="3433" name="Check Box 361" hidden="1">
              <a:extLst>
                <a:ext uri="{63B3BB69-23CF-44E3-9099-C40C66FF867C}">
                  <a14:compatExt spid="_x0000_s3433"/>
                </a:ext>
                <a:ext uri="{FF2B5EF4-FFF2-40B4-BE49-F238E27FC236}">
                  <a16:creationId xmlns:a16="http://schemas.microsoft.com/office/drawing/2014/main" id="{00000000-0008-0000-0200-00006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31</xdr:row>
          <xdr:rowOff>7620</xdr:rowOff>
        </xdr:from>
        <xdr:to>
          <xdr:col>4</xdr:col>
          <xdr:colOff>1036320</xdr:colOff>
          <xdr:row>31</xdr:row>
          <xdr:rowOff>228600</xdr:rowOff>
        </xdr:to>
        <xdr:sp macro="" textlink="">
          <xdr:nvSpPr>
            <xdr:cNvPr id="3434" name="Check Box 362" hidden="1">
              <a:extLst>
                <a:ext uri="{63B3BB69-23CF-44E3-9099-C40C66FF867C}">
                  <a14:compatExt spid="_x0000_s3434"/>
                </a:ext>
                <a:ext uri="{FF2B5EF4-FFF2-40B4-BE49-F238E27FC236}">
                  <a16:creationId xmlns:a16="http://schemas.microsoft.com/office/drawing/2014/main" id="{00000000-0008-0000-0200-00006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60960</xdr:colOff>
          <xdr:row>1</xdr:row>
          <xdr:rowOff>68580</xdr:rowOff>
        </xdr:from>
        <xdr:to>
          <xdr:col>12</xdr:col>
          <xdr:colOff>274320</xdr:colOff>
          <xdr:row>1</xdr:row>
          <xdr:rowOff>800100</xdr:rowOff>
        </xdr:to>
        <xdr:sp macro="" textlink="">
          <xdr:nvSpPr>
            <xdr:cNvPr id="3682" name="Check Box 610" hidden="1">
              <a:extLst>
                <a:ext uri="{63B3BB69-23CF-44E3-9099-C40C66FF867C}">
                  <a14:compatExt spid="_x0000_s3682"/>
                </a:ext>
                <a:ext uri="{FF2B5EF4-FFF2-40B4-BE49-F238E27FC236}">
                  <a16:creationId xmlns:a16="http://schemas.microsoft.com/office/drawing/2014/main" id="{00000000-0008-0000-0200-0000620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fPrintsWithSheet="0"/>
      </xdr:twoCellAnchor>
    </mc:Choice>
    <mc:Fallback/>
  </mc:AlternateContent>
  <xdr:twoCellAnchor editAs="oneCell">
    <xdr:from>
      <xdr:col>0</xdr:col>
      <xdr:colOff>70068</xdr:colOff>
      <xdr:row>1</xdr:row>
      <xdr:rowOff>122621</xdr:rowOff>
    </xdr:from>
    <xdr:to>
      <xdr:col>1</xdr:col>
      <xdr:colOff>980713</xdr:colOff>
      <xdr:row>1</xdr:row>
      <xdr:rowOff>1051035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10000" b="90000" l="10000" r="90000"/>
                  </a14:imgEffect>
                </a14:imgLayer>
              </a14:imgProps>
            </a:ext>
          </a:extLst>
        </a:blip>
        <a:stretch>
          <a:fillRect/>
        </a:stretch>
      </xdr:blipFill>
      <xdr:spPr>
        <a:xfrm>
          <a:off x="70068" y="166414"/>
          <a:ext cx="2180645" cy="928414"/>
        </a:xfrm>
        <a:prstGeom prst="rect">
          <a:avLst/>
        </a:prstGeom>
      </xdr:spPr>
    </xdr:pic>
    <xdr:clientData/>
  </xdr:twoCellAnchor>
  <xdr:twoCellAnchor editAs="oneCell">
    <xdr:from>
      <xdr:col>0</xdr:col>
      <xdr:colOff>297793</xdr:colOff>
      <xdr:row>1</xdr:row>
      <xdr:rowOff>280276</xdr:rowOff>
    </xdr:from>
    <xdr:to>
      <xdr:col>1</xdr:col>
      <xdr:colOff>683173</xdr:colOff>
      <xdr:row>1</xdr:row>
      <xdr:rowOff>1033517</xdr:rowOff>
    </xdr:to>
    <xdr:pic>
      <xdr:nvPicPr>
        <xdr:cNvPr id="10" name="Picture 9" descr="A picture containing text, clipart, tableware, dishware&#10;&#10;Description automatically generated">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7793" y="324069"/>
          <a:ext cx="1655380" cy="75324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285750</xdr:colOff>
      <xdr:row>0</xdr:row>
      <xdr:rowOff>0</xdr:rowOff>
    </xdr:from>
    <xdr:to>
      <xdr:col>3</xdr:col>
      <xdr:colOff>76200</xdr:colOff>
      <xdr:row>3</xdr:row>
      <xdr:rowOff>180975</xdr:rowOff>
    </xdr:to>
    <xdr:pic>
      <xdr:nvPicPr>
        <xdr:cNvPr id="8222" name="Picture 2" descr="Unionlogo">
          <a:extLst>
            <a:ext uri="{FF2B5EF4-FFF2-40B4-BE49-F238E27FC236}">
              <a16:creationId xmlns:a16="http://schemas.microsoft.com/office/drawing/2014/main" id="{00000000-0008-0000-0300-00001E2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0500" y="0"/>
          <a:ext cx="1752600" cy="8953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1303020</xdr:colOff>
          <xdr:row>1</xdr:row>
          <xdr:rowOff>0</xdr:rowOff>
        </xdr:from>
        <xdr:to>
          <xdr:col>1</xdr:col>
          <xdr:colOff>1592580</xdr:colOff>
          <xdr:row>3</xdr:row>
          <xdr:rowOff>60960</xdr:rowOff>
        </xdr:to>
        <xdr:sp macro="" textlink="">
          <xdr:nvSpPr>
            <xdr:cNvPr id="16406" name="Button 22" hidden="1">
              <a:extLst>
                <a:ext uri="{63B3BB69-23CF-44E3-9099-C40C66FF867C}">
                  <a14:compatExt spid="_x0000_s16406"/>
                </a:ext>
                <a:ext uri="{FF2B5EF4-FFF2-40B4-BE49-F238E27FC236}">
                  <a16:creationId xmlns:a16="http://schemas.microsoft.com/office/drawing/2014/main" id="{00000000-0008-0000-0400-0000164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sk-SK" sz="1400" b="1" i="0" u="none" strike="noStrike" baseline="0">
                  <a:solidFill>
                    <a:srgbClr val="F20000"/>
                  </a:solidFill>
                  <a:latin typeface="Arial Narrow"/>
                </a:rPr>
                <a:t>Vymazať údaje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3</xdr:col>
      <xdr:colOff>83127</xdr:colOff>
      <xdr:row>1</xdr:row>
      <xdr:rowOff>138546</xdr:rowOff>
    </xdr:from>
    <xdr:to>
      <xdr:col>16</xdr:col>
      <xdr:colOff>63730</xdr:colOff>
      <xdr:row>4</xdr:row>
      <xdr:rowOff>179129</xdr:rowOff>
    </xdr:to>
    <xdr:pic>
      <xdr:nvPicPr>
        <xdr:cNvPr id="4" name="Obrázok 3" descr="Obrázok, na ktorom je text, riad, tanier&#10;&#10;Automaticky generovaný popis">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345" y="304801"/>
          <a:ext cx="1691640" cy="71945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83820</xdr:colOff>
          <xdr:row>47</xdr:row>
          <xdr:rowOff>7620</xdr:rowOff>
        </xdr:from>
        <xdr:to>
          <xdr:col>23</xdr:col>
          <xdr:colOff>22860</xdr:colOff>
          <xdr:row>49</xdr:row>
          <xdr:rowOff>30480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6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99060</xdr:colOff>
          <xdr:row>41</xdr:row>
          <xdr:rowOff>22860</xdr:rowOff>
        </xdr:from>
        <xdr:to>
          <xdr:col>52</xdr:col>
          <xdr:colOff>30480</xdr:colOff>
          <xdr:row>43</xdr:row>
          <xdr:rowOff>30480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6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41</xdr:row>
          <xdr:rowOff>22860</xdr:rowOff>
        </xdr:from>
        <xdr:to>
          <xdr:col>23</xdr:col>
          <xdr:colOff>22860</xdr:colOff>
          <xdr:row>43</xdr:row>
          <xdr:rowOff>30480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6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43</xdr:row>
          <xdr:rowOff>7620</xdr:rowOff>
        </xdr:from>
        <xdr:to>
          <xdr:col>23</xdr:col>
          <xdr:colOff>22860</xdr:colOff>
          <xdr:row>45</xdr:row>
          <xdr:rowOff>30480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6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83820</xdr:colOff>
          <xdr:row>45</xdr:row>
          <xdr:rowOff>7620</xdr:rowOff>
        </xdr:from>
        <xdr:to>
          <xdr:col>23</xdr:col>
          <xdr:colOff>22860</xdr:colOff>
          <xdr:row>47</xdr:row>
          <xdr:rowOff>30480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6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41</xdr:row>
          <xdr:rowOff>22860</xdr:rowOff>
        </xdr:from>
        <xdr:to>
          <xdr:col>26</xdr:col>
          <xdr:colOff>22860</xdr:colOff>
          <xdr:row>43</xdr:row>
          <xdr:rowOff>30480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6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43</xdr:row>
          <xdr:rowOff>7620</xdr:rowOff>
        </xdr:from>
        <xdr:to>
          <xdr:col>26</xdr:col>
          <xdr:colOff>22860</xdr:colOff>
          <xdr:row>45</xdr:row>
          <xdr:rowOff>30480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6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45</xdr:row>
          <xdr:rowOff>7620</xdr:rowOff>
        </xdr:from>
        <xdr:to>
          <xdr:col>26</xdr:col>
          <xdr:colOff>22860</xdr:colOff>
          <xdr:row>47</xdr:row>
          <xdr:rowOff>30480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6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83820</xdr:colOff>
          <xdr:row>47</xdr:row>
          <xdr:rowOff>7620</xdr:rowOff>
        </xdr:from>
        <xdr:to>
          <xdr:col>26</xdr:col>
          <xdr:colOff>22860</xdr:colOff>
          <xdr:row>49</xdr:row>
          <xdr:rowOff>30480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6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99060</xdr:colOff>
          <xdr:row>43</xdr:row>
          <xdr:rowOff>7620</xdr:rowOff>
        </xdr:from>
        <xdr:to>
          <xdr:col>52</xdr:col>
          <xdr:colOff>30480</xdr:colOff>
          <xdr:row>45</xdr:row>
          <xdr:rowOff>30480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6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99060</xdr:colOff>
          <xdr:row>45</xdr:row>
          <xdr:rowOff>7620</xdr:rowOff>
        </xdr:from>
        <xdr:to>
          <xdr:col>52</xdr:col>
          <xdr:colOff>30480</xdr:colOff>
          <xdr:row>47</xdr:row>
          <xdr:rowOff>30480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6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83820</xdr:colOff>
          <xdr:row>41</xdr:row>
          <xdr:rowOff>22860</xdr:rowOff>
        </xdr:from>
        <xdr:to>
          <xdr:col>55</xdr:col>
          <xdr:colOff>22860</xdr:colOff>
          <xdr:row>43</xdr:row>
          <xdr:rowOff>30480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6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83820</xdr:colOff>
          <xdr:row>43</xdr:row>
          <xdr:rowOff>7620</xdr:rowOff>
        </xdr:from>
        <xdr:to>
          <xdr:col>55</xdr:col>
          <xdr:colOff>22860</xdr:colOff>
          <xdr:row>46</xdr:row>
          <xdr:rowOff>0</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6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83820</xdr:colOff>
          <xdr:row>45</xdr:row>
          <xdr:rowOff>7620</xdr:rowOff>
        </xdr:from>
        <xdr:to>
          <xdr:col>55</xdr:col>
          <xdr:colOff>22860</xdr:colOff>
          <xdr:row>47</xdr:row>
          <xdr:rowOff>30480</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6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53</xdr:row>
          <xdr:rowOff>144780</xdr:rowOff>
        </xdr:from>
        <xdr:to>
          <xdr:col>16</xdr:col>
          <xdr:colOff>22860</xdr:colOff>
          <xdr:row>55</xdr:row>
          <xdr:rowOff>30480</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6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53</xdr:row>
          <xdr:rowOff>144780</xdr:rowOff>
        </xdr:from>
        <xdr:to>
          <xdr:col>23</xdr:col>
          <xdr:colOff>7620</xdr:colOff>
          <xdr:row>55</xdr:row>
          <xdr:rowOff>30480</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6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56</xdr:row>
          <xdr:rowOff>22860</xdr:rowOff>
        </xdr:from>
        <xdr:to>
          <xdr:col>16</xdr:col>
          <xdr:colOff>22860</xdr:colOff>
          <xdr:row>58</xdr:row>
          <xdr:rowOff>30480</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6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56</xdr:row>
          <xdr:rowOff>22860</xdr:rowOff>
        </xdr:from>
        <xdr:to>
          <xdr:col>23</xdr:col>
          <xdr:colOff>7620</xdr:colOff>
          <xdr:row>58</xdr:row>
          <xdr:rowOff>30480</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6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83820</xdr:colOff>
          <xdr:row>59</xdr:row>
          <xdr:rowOff>152400</xdr:rowOff>
        </xdr:from>
        <xdr:to>
          <xdr:col>43</xdr:col>
          <xdr:colOff>22860</xdr:colOff>
          <xdr:row>61</xdr:row>
          <xdr:rowOff>38100</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6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83820</xdr:colOff>
          <xdr:row>59</xdr:row>
          <xdr:rowOff>152400</xdr:rowOff>
        </xdr:from>
        <xdr:to>
          <xdr:col>47</xdr:col>
          <xdr:colOff>22860</xdr:colOff>
          <xdr:row>61</xdr:row>
          <xdr:rowOff>38100</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6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66</xdr:row>
          <xdr:rowOff>144780</xdr:rowOff>
        </xdr:from>
        <xdr:to>
          <xdr:col>16</xdr:col>
          <xdr:colOff>22860</xdr:colOff>
          <xdr:row>68</xdr:row>
          <xdr:rowOff>30480</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6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66</xdr:row>
          <xdr:rowOff>144780</xdr:rowOff>
        </xdr:from>
        <xdr:to>
          <xdr:col>21</xdr:col>
          <xdr:colOff>7620</xdr:colOff>
          <xdr:row>68</xdr:row>
          <xdr:rowOff>30480</xdr:rowOff>
        </xdr:to>
        <xdr:sp macro="" textlink="">
          <xdr:nvSpPr>
            <xdr:cNvPr id="18456" name="Check Box 24" hidden="1">
              <a:extLst>
                <a:ext uri="{63B3BB69-23CF-44E3-9099-C40C66FF867C}">
                  <a14:compatExt spid="_x0000_s18456"/>
                </a:ext>
                <a:ext uri="{FF2B5EF4-FFF2-40B4-BE49-F238E27FC236}">
                  <a16:creationId xmlns:a16="http://schemas.microsoft.com/office/drawing/2014/main" id="{00000000-0008-0000-0600-00001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83820</xdr:colOff>
          <xdr:row>70</xdr:row>
          <xdr:rowOff>160020</xdr:rowOff>
        </xdr:from>
        <xdr:to>
          <xdr:col>16</xdr:col>
          <xdr:colOff>22860</xdr:colOff>
          <xdr:row>73</xdr:row>
          <xdr:rowOff>0</xdr:rowOff>
        </xdr:to>
        <xdr:sp macro="" textlink="">
          <xdr:nvSpPr>
            <xdr:cNvPr id="18457" name="Check Box 25" hidden="1">
              <a:extLst>
                <a:ext uri="{63B3BB69-23CF-44E3-9099-C40C66FF867C}">
                  <a14:compatExt spid="_x0000_s18457"/>
                </a:ext>
                <a:ext uri="{FF2B5EF4-FFF2-40B4-BE49-F238E27FC236}">
                  <a16:creationId xmlns:a16="http://schemas.microsoft.com/office/drawing/2014/main" id="{00000000-0008-0000-0600-00001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70</xdr:row>
          <xdr:rowOff>160020</xdr:rowOff>
        </xdr:from>
        <xdr:to>
          <xdr:col>21</xdr:col>
          <xdr:colOff>7620</xdr:colOff>
          <xdr:row>73</xdr:row>
          <xdr:rowOff>0</xdr:rowOff>
        </xdr:to>
        <xdr:sp macro="" textlink="">
          <xdr:nvSpPr>
            <xdr:cNvPr id="18458" name="Check Box 26" hidden="1">
              <a:extLst>
                <a:ext uri="{63B3BB69-23CF-44E3-9099-C40C66FF867C}">
                  <a14:compatExt spid="_x0000_s18458"/>
                </a:ext>
                <a:ext uri="{FF2B5EF4-FFF2-40B4-BE49-F238E27FC236}">
                  <a16:creationId xmlns:a16="http://schemas.microsoft.com/office/drawing/2014/main" id="{00000000-0008-0000-0600-00001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46</xdr:col>
          <xdr:colOff>0</xdr:colOff>
          <xdr:row>0</xdr:row>
          <xdr:rowOff>76200</xdr:rowOff>
        </xdr:from>
        <xdr:to>
          <xdr:col>57</xdr:col>
          <xdr:colOff>60960</xdr:colOff>
          <xdr:row>2</xdr:row>
          <xdr:rowOff>99060</xdr:rowOff>
        </xdr:to>
        <xdr:sp macro="" textlink="">
          <xdr:nvSpPr>
            <xdr:cNvPr id="18471" name="Button 39" hidden="1">
              <a:extLst>
                <a:ext uri="{63B3BB69-23CF-44E3-9099-C40C66FF867C}">
                  <a14:compatExt spid="_x0000_s18471"/>
                </a:ext>
                <a:ext uri="{FF2B5EF4-FFF2-40B4-BE49-F238E27FC236}">
                  <a16:creationId xmlns:a16="http://schemas.microsoft.com/office/drawing/2014/main" id="{00000000-0008-0000-0600-0000274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sk-SK" sz="1400" b="1" i="0" u="none" strike="noStrike" baseline="0">
                  <a:solidFill>
                    <a:srgbClr val="9A0000"/>
                  </a:solidFill>
                  <a:latin typeface="Arial Narrow"/>
                </a:rPr>
                <a:t>Vymaž dotazník </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76200</xdr:colOff>
          <xdr:row>17</xdr:row>
          <xdr:rowOff>152400</xdr:rowOff>
        </xdr:from>
        <xdr:to>
          <xdr:col>19</xdr:col>
          <xdr:colOff>7620</xdr:colOff>
          <xdr:row>19</xdr:row>
          <xdr:rowOff>30480</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7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17</xdr:row>
          <xdr:rowOff>152400</xdr:rowOff>
        </xdr:from>
        <xdr:to>
          <xdr:col>22</xdr:col>
          <xdr:colOff>7620</xdr:colOff>
          <xdr:row>19</xdr:row>
          <xdr:rowOff>30480</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7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17</xdr:row>
          <xdr:rowOff>152400</xdr:rowOff>
        </xdr:from>
        <xdr:to>
          <xdr:col>31</xdr:col>
          <xdr:colOff>7620</xdr:colOff>
          <xdr:row>19</xdr:row>
          <xdr:rowOff>30480</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7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17</xdr:row>
          <xdr:rowOff>152400</xdr:rowOff>
        </xdr:from>
        <xdr:to>
          <xdr:col>34</xdr:col>
          <xdr:colOff>7620</xdr:colOff>
          <xdr:row>19</xdr:row>
          <xdr:rowOff>30480</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7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76200</xdr:colOff>
          <xdr:row>17</xdr:row>
          <xdr:rowOff>152400</xdr:rowOff>
        </xdr:from>
        <xdr:to>
          <xdr:col>44</xdr:col>
          <xdr:colOff>7620</xdr:colOff>
          <xdr:row>19</xdr:row>
          <xdr:rowOff>30480</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7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76200</xdr:colOff>
          <xdr:row>17</xdr:row>
          <xdr:rowOff>152400</xdr:rowOff>
        </xdr:from>
        <xdr:to>
          <xdr:col>47</xdr:col>
          <xdr:colOff>7620</xdr:colOff>
          <xdr:row>19</xdr:row>
          <xdr:rowOff>30480</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7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5</xdr:row>
          <xdr:rowOff>152400</xdr:rowOff>
        </xdr:from>
        <xdr:to>
          <xdr:col>19</xdr:col>
          <xdr:colOff>7620</xdr:colOff>
          <xdr:row>7</xdr:row>
          <xdr:rowOff>30480</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7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5</xdr:row>
          <xdr:rowOff>152400</xdr:rowOff>
        </xdr:from>
        <xdr:to>
          <xdr:col>22</xdr:col>
          <xdr:colOff>7620</xdr:colOff>
          <xdr:row>7</xdr:row>
          <xdr:rowOff>30480</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7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5</xdr:row>
          <xdr:rowOff>152400</xdr:rowOff>
        </xdr:from>
        <xdr:to>
          <xdr:col>31</xdr:col>
          <xdr:colOff>7620</xdr:colOff>
          <xdr:row>7</xdr:row>
          <xdr:rowOff>30480</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7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5</xdr:row>
          <xdr:rowOff>152400</xdr:rowOff>
        </xdr:from>
        <xdr:to>
          <xdr:col>34</xdr:col>
          <xdr:colOff>7620</xdr:colOff>
          <xdr:row>7</xdr:row>
          <xdr:rowOff>30480</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7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76200</xdr:colOff>
          <xdr:row>5</xdr:row>
          <xdr:rowOff>152400</xdr:rowOff>
        </xdr:from>
        <xdr:to>
          <xdr:col>44</xdr:col>
          <xdr:colOff>7620</xdr:colOff>
          <xdr:row>7</xdr:row>
          <xdr:rowOff>30480</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7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76200</xdr:colOff>
          <xdr:row>5</xdr:row>
          <xdr:rowOff>152400</xdr:rowOff>
        </xdr:from>
        <xdr:to>
          <xdr:col>47</xdr:col>
          <xdr:colOff>7620</xdr:colOff>
          <xdr:row>7</xdr:row>
          <xdr:rowOff>30480</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7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76200</xdr:colOff>
          <xdr:row>8</xdr:row>
          <xdr:rowOff>152400</xdr:rowOff>
        </xdr:from>
        <xdr:to>
          <xdr:col>19</xdr:col>
          <xdr:colOff>7620</xdr:colOff>
          <xdr:row>10</xdr:row>
          <xdr:rowOff>30480</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7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8</xdr:row>
          <xdr:rowOff>152400</xdr:rowOff>
        </xdr:from>
        <xdr:to>
          <xdr:col>22</xdr:col>
          <xdr:colOff>7620</xdr:colOff>
          <xdr:row>10</xdr:row>
          <xdr:rowOff>30480</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7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8</xdr:row>
          <xdr:rowOff>152400</xdr:rowOff>
        </xdr:from>
        <xdr:to>
          <xdr:col>31</xdr:col>
          <xdr:colOff>7620</xdr:colOff>
          <xdr:row>10</xdr:row>
          <xdr:rowOff>30480</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7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76200</xdr:colOff>
          <xdr:row>8</xdr:row>
          <xdr:rowOff>152400</xdr:rowOff>
        </xdr:from>
        <xdr:to>
          <xdr:col>34</xdr:col>
          <xdr:colOff>7620</xdr:colOff>
          <xdr:row>10</xdr:row>
          <xdr:rowOff>30480</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7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76200</xdr:colOff>
          <xdr:row>8</xdr:row>
          <xdr:rowOff>152400</xdr:rowOff>
        </xdr:from>
        <xdr:to>
          <xdr:col>44</xdr:col>
          <xdr:colOff>7620</xdr:colOff>
          <xdr:row>10</xdr:row>
          <xdr:rowOff>30480</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7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76200</xdr:colOff>
          <xdr:row>8</xdr:row>
          <xdr:rowOff>152400</xdr:rowOff>
        </xdr:from>
        <xdr:to>
          <xdr:col>47</xdr:col>
          <xdr:colOff>7620</xdr:colOff>
          <xdr:row>10</xdr:row>
          <xdr:rowOff>30480</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7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0</xdr:row>
          <xdr:rowOff>76200</xdr:rowOff>
        </xdr:from>
        <xdr:to>
          <xdr:col>25</xdr:col>
          <xdr:colOff>99060</xdr:colOff>
          <xdr:row>2</xdr:row>
          <xdr:rowOff>106680</xdr:rowOff>
        </xdr:to>
        <xdr:sp macro="" textlink="">
          <xdr:nvSpPr>
            <xdr:cNvPr id="20499" name="Button 19" hidden="1">
              <a:extLst>
                <a:ext uri="{63B3BB69-23CF-44E3-9099-C40C66FF867C}">
                  <a14:compatExt spid="_x0000_s20499"/>
                </a:ext>
                <a:ext uri="{FF2B5EF4-FFF2-40B4-BE49-F238E27FC236}">
                  <a16:creationId xmlns:a16="http://schemas.microsoft.com/office/drawing/2014/main" id="{00000000-0008-0000-0700-0000135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sk-SK" sz="1400" b="1" i="0" u="none" strike="noStrike" baseline="0">
                  <a:solidFill>
                    <a:srgbClr val="9A0000"/>
                  </a:solidFill>
                  <a:latin typeface="Arial Narrow"/>
                </a:rPr>
                <a:t>Vymaž dotazník </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152400</xdr:colOff>
          <xdr:row>22</xdr:row>
          <xdr:rowOff>106680</xdr:rowOff>
        </xdr:from>
        <xdr:to>
          <xdr:col>4</xdr:col>
          <xdr:colOff>106680</xdr:colOff>
          <xdr:row>25</xdr:row>
          <xdr:rowOff>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8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22</xdr:row>
          <xdr:rowOff>114300</xdr:rowOff>
        </xdr:from>
        <xdr:to>
          <xdr:col>14</xdr:col>
          <xdr:colOff>7620</xdr:colOff>
          <xdr:row>24</xdr:row>
          <xdr:rowOff>30480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08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59</xdr:col>
          <xdr:colOff>213360</xdr:colOff>
          <xdr:row>0</xdr:row>
          <xdr:rowOff>144780</xdr:rowOff>
        </xdr:from>
        <xdr:to>
          <xdr:col>62</xdr:col>
          <xdr:colOff>259080</xdr:colOff>
          <xdr:row>2</xdr:row>
          <xdr:rowOff>144780</xdr:rowOff>
        </xdr:to>
        <xdr:sp macro="" textlink="">
          <xdr:nvSpPr>
            <xdr:cNvPr id="25608" name="Button 8" hidden="1">
              <a:extLst>
                <a:ext uri="{63B3BB69-23CF-44E3-9099-C40C66FF867C}">
                  <a14:compatExt spid="_x0000_s25608"/>
                </a:ext>
                <a:ext uri="{FF2B5EF4-FFF2-40B4-BE49-F238E27FC236}">
                  <a16:creationId xmlns:a16="http://schemas.microsoft.com/office/drawing/2014/main" id="{00000000-0008-0000-0900-0000086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sk-SK" sz="1400" b="1" i="0" u="none" strike="noStrike" baseline="0">
                  <a:solidFill>
                    <a:srgbClr val="339933"/>
                  </a:solidFill>
                  <a:latin typeface="Arial Narrow"/>
                </a:rPr>
                <a:t>Tlačiť  PZ</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0</xdr:colOff>
      <xdr:row>0</xdr:row>
      <xdr:rowOff>0</xdr:rowOff>
    </xdr:from>
    <xdr:to>
      <xdr:col>11</xdr:col>
      <xdr:colOff>57150</xdr:colOff>
      <xdr:row>0</xdr:row>
      <xdr:rowOff>0</xdr:rowOff>
    </xdr:to>
    <xdr:pic>
      <xdr:nvPicPr>
        <xdr:cNvPr id="12360" name="Picture 1" descr="Unionlogo">
          <a:extLst>
            <a:ext uri="{FF2B5EF4-FFF2-40B4-BE49-F238E27FC236}">
              <a16:creationId xmlns:a16="http://schemas.microsoft.com/office/drawing/2014/main" id="{00000000-0008-0000-0A00-0000483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19075" y="0"/>
          <a:ext cx="1285875" cy="0"/>
        </a:xfrm>
        <a:prstGeom prst="rect">
          <a:avLst/>
        </a:prstGeom>
        <a:noFill/>
        <a:ln w="9525">
          <a:noFill/>
          <a:miter lim="800000"/>
          <a:headEnd/>
          <a:tailEnd/>
        </a:ln>
      </xdr:spPr>
    </xdr:pic>
    <xdr:clientData/>
  </xdr:twoCellAnchor>
  <xdr:twoCellAnchor>
    <xdr:from>
      <xdr:col>0</xdr:col>
      <xdr:colOff>47625</xdr:colOff>
      <xdr:row>0</xdr:row>
      <xdr:rowOff>0</xdr:rowOff>
    </xdr:from>
    <xdr:to>
      <xdr:col>9</xdr:col>
      <xdr:colOff>38100</xdr:colOff>
      <xdr:row>0</xdr:row>
      <xdr:rowOff>0</xdr:rowOff>
    </xdr:to>
    <xdr:pic>
      <xdr:nvPicPr>
        <xdr:cNvPr id="12361" name="Picture 5" descr="Unionlogo">
          <a:extLst>
            <a:ext uri="{FF2B5EF4-FFF2-40B4-BE49-F238E27FC236}">
              <a16:creationId xmlns:a16="http://schemas.microsoft.com/office/drawing/2014/main" id="{00000000-0008-0000-0A00-0000493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7625" y="0"/>
          <a:ext cx="1228725" cy="0"/>
        </a:xfrm>
        <a:prstGeom prst="rect">
          <a:avLst/>
        </a:prstGeom>
        <a:noFill/>
        <a:ln w="9525">
          <a:noFill/>
          <a:miter lim="800000"/>
          <a:headEnd/>
          <a:tailEnd/>
        </a:ln>
      </xdr:spPr>
    </xdr:pic>
    <xdr:clientData/>
  </xdr:twoCellAnchor>
  <xdr:twoCellAnchor>
    <xdr:from>
      <xdr:col>0</xdr:col>
      <xdr:colOff>0</xdr:colOff>
      <xdr:row>0</xdr:row>
      <xdr:rowOff>0</xdr:rowOff>
    </xdr:from>
    <xdr:to>
      <xdr:col>10</xdr:col>
      <xdr:colOff>9525</xdr:colOff>
      <xdr:row>2</xdr:row>
      <xdr:rowOff>161925</xdr:rowOff>
    </xdr:to>
    <xdr:pic>
      <xdr:nvPicPr>
        <xdr:cNvPr id="12362" name="Picture 20" descr="Unionlogo">
          <a:extLst>
            <a:ext uri="{FF2B5EF4-FFF2-40B4-BE49-F238E27FC236}">
              <a16:creationId xmlns:a16="http://schemas.microsoft.com/office/drawing/2014/main" id="{00000000-0008-0000-0A00-00004A3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362075" cy="5524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Zivot/URAZ/HPZ_2015/Zmena_od_1.1.2016_v_PZ_1xx/Zmena_PZ_832/Obe&#382;n&#237;k%20-%20dodatok%20c.%202/Elekt._PZ_8xx/Zdravie%20Istota/elektonicka_pz_ZI_01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stup"/>
      <sheetName val="pomoc"/>
      <sheetName val="Poistné"/>
      <sheetName val="Ponuka"/>
      <sheetName val="PZ_1"/>
      <sheetName val="PZ_2"/>
      <sheetName val="PZ_3"/>
      <sheetName val="PZ_4"/>
      <sheetName val="PZ_5"/>
      <sheetName val="PZ_6"/>
      <sheetName val="DK"/>
      <sheetName val="PC"/>
      <sheetName val="ZC"/>
    </sheetNames>
    <sheetDataSet>
      <sheetData sheetId="0" refreshError="1"/>
      <sheetData sheetId="1" refreshError="1"/>
      <sheetData sheetId="2">
        <row r="3">
          <cell r="G3" t="str">
            <v>O.K.</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18" Type="http://schemas.openxmlformats.org/officeDocument/2006/relationships/ctrlProp" Target="../ctrlProps/ctrlProp21.xml"/><Relationship Id="rId26" Type="http://schemas.openxmlformats.org/officeDocument/2006/relationships/ctrlProp" Target="../ctrlProps/ctrlProp29.xml"/><Relationship Id="rId3" Type="http://schemas.openxmlformats.org/officeDocument/2006/relationships/vmlDrawing" Target="../drawings/vmlDrawing3.vml"/><Relationship Id="rId21" Type="http://schemas.openxmlformats.org/officeDocument/2006/relationships/ctrlProp" Target="../ctrlProps/ctrlProp24.xml"/><Relationship Id="rId7" Type="http://schemas.openxmlformats.org/officeDocument/2006/relationships/ctrlProp" Target="../ctrlProps/ctrlProp10.xml"/><Relationship Id="rId12" Type="http://schemas.openxmlformats.org/officeDocument/2006/relationships/ctrlProp" Target="../ctrlProps/ctrlProp15.xml"/><Relationship Id="rId17" Type="http://schemas.openxmlformats.org/officeDocument/2006/relationships/ctrlProp" Target="../ctrlProps/ctrlProp20.xml"/><Relationship Id="rId25" Type="http://schemas.openxmlformats.org/officeDocument/2006/relationships/ctrlProp" Target="../ctrlProps/ctrlProp28.xml"/><Relationship Id="rId2" Type="http://schemas.openxmlformats.org/officeDocument/2006/relationships/drawing" Target="../drawings/drawing6.xml"/><Relationship Id="rId16" Type="http://schemas.openxmlformats.org/officeDocument/2006/relationships/ctrlProp" Target="../ctrlProps/ctrlProp19.xml"/><Relationship Id="rId20" Type="http://schemas.openxmlformats.org/officeDocument/2006/relationships/ctrlProp" Target="../ctrlProps/ctrlProp23.xml"/><Relationship Id="rId1" Type="http://schemas.openxmlformats.org/officeDocument/2006/relationships/printerSettings" Target="../printerSettings/printerSettings7.bin"/><Relationship Id="rId6" Type="http://schemas.openxmlformats.org/officeDocument/2006/relationships/ctrlProp" Target="../ctrlProps/ctrlProp9.xml"/><Relationship Id="rId11" Type="http://schemas.openxmlformats.org/officeDocument/2006/relationships/ctrlProp" Target="../ctrlProps/ctrlProp14.xml"/><Relationship Id="rId24" Type="http://schemas.openxmlformats.org/officeDocument/2006/relationships/ctrlProp" Target="../ctrlProps/ctrlProp27.xml"/><Relationship Id="rId5" Type="http://schemas.openxmlformats.org/officeDocument/2006/relationships/ctrlProp" Target="../ctrlProps/ctrlProp8.xml"/><Relationship Id="rId15" Type="http://schemas.openxmlformats.org/officeDocument/2006/relationships/ctrlProp" Target="../ctrlProps/ctrlProp18.xml"/><Relationship Id="rId23" Type="http://schemas.openxmlformats.org/officeDocument/2006/relationships/ctrlProp" Target="../ctrlProps/ctrlProp26.xml"/><Relationship Id="rId28" Type="http://schemas.openxmlformats.org/officeDocument/2006/relationships/ctrlProp" Target="../ctrlProps/ctrlProp31.xml"/><Relationship Id="rId10" Type="http://schemas.openxmlformats.org/officeDocument/2006/relationships/ctrlProp" Target="../ctrlProps/ctrlProp13.xml"/><Relationship Id="rId19" Type="http://schemas.openxmlformats.org/officeDocument/2006/relationships/ctrlProp" Target="../ctrlProps/ctrlProp22.xml"/><Relationship Id="rId4" Type="http://schemas.openxmlformats.org/officeDocument/2006/relationships/ctrlProp" Target="../ctrlProps/ctrlProp7.xml"/><Relationship Id="rId9" Type="http://schemas.openxmlformats.org/officeDocument/2006/relationships/ctrlProp" Target="../ctrlProps/ctrlProp12.xml"/><Relationship Id="rId14" Type="http://schemas.openxmlformats.org/officeDocument/2006/relationships/ctrlProp" Target="../ctrlProps/ctrlProp17.xml"/><Relationship Id="rId22" Type="http://schemas.openxmlformats.org/officeDocument/2006/relationships/ctrlProp" Target="../ctrlProps/ctrlProp25.xml"/><Relationship Id="rId27" Type="http://schemas.openxmlformats.org/officeDocument/2006/relationships/ctrlProp" Target="../ctrlProps/ctrlProp30.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3" Type="http://schemas.openxmlformats.org/officeDocument/2006/relationships/vmlDrawing" Target="../drawings/vmlDrawing4.vml"/><Relationship Id="rId21" Type="http://schemas.openxmlformats.org/officeDocument/2006/relationships/ctrlProp" Target="../ctrlProps/ctrlProp49.x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 Type="http://schemas.openxmlformats.org/officeDocument/2006/relationships/drawing" Target="../drawings/drawing7.xml"/><Relationship Id="rId16" Type="http://schemas.openxmlformats.org/officeDocument/2006/relationships/ctrlProp" Target="../ctrlProps/ctrlProp44.xml"/><Relationship Id="rId20" Type="http://schemas.openxmlformats.org/officeDocument/2006/relationships/ctrlProp" Target="../ctrlProps/ctrlProp48.xml"/><Relationship Id="rId1" Type="http://schemas.openxmlformats.org/officeDocument/2006/relationships/printerSettings" Target="../printerSettings/printerSettings8.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ctrlProp" Target="../ctrlProps/ctrlProp33.xml"/><Relationship Id="rId15" Type="http://schemas.openxmlformats.org/officeDocument/2006/relationships/ctrlProp" Target="../ctrlProps/ctrlProp43.xml"/><Relationship Id="rId10" Type="http://schemas.openxmlformats.org/officeDocument/2006/relationships/ctrlProp" Target="../ctrlProps/ctrlProp38.xml"/><Relationship Id="rId19" Type="http://schemas.openxmlformats.org/officeDocument/2006/relationships/ctrlProp" Target="../ctrlProps/ctrlProp47.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 Id="rId22" Type="http://schemas.openxmlformats.org/officeDocument/2006/relationships/ctrlProp" Target="../ctrlProps/ctrlProp50.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9.bin"/><Relationship Id="rId5" Type="http://schemas.openxmlformats.org/officeDocument/2006/relationships/ctrlProp" Target="../ctrlProps/ctrlProp52.xml"/><Relationship Id="rId4" Type="http://schemas.openxmlformats.org/officeDocument/2006/relationships/ctrlProp" Target="../ctrlProps/ctrlProp5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trlProp" Target="../ctrlProps/ctrlProp5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227"/>
  <sheetViews>
    <sheetView zoomScale="110" zoomScaleNormal="110" workbookViewId="0">
      <selection activeCell="Y6" sqref="Y6"/>
    </sheetView>
  </sheetViews>
  <sheetFormatPr defaultColWidth="9.109375" defaultRowHeight="13.2"/>
  <cols>
    <col min="1" max="1" width="10.88671875" style="161" customWidth="1"/>
    <col min="2" max="2" width="9.5546875" style="161" customWidth="1"/>
    <col min="3" max="3" width="9.109375" style="161"/>
    <col min="4" max="4" width="11.44140625" style="161" customWidth="1"/>
    <col min="5" max="5" width="11.33203125" style="161" customWidth="1"/>
    <col min="6" max="6" width="2.109375" style="161" customWidth="1"/>
    <col min="7" max="7" width="11.44140625" style="161" bestFit="1" customWidth="1"/>
    <col min="8" max="8" width="10.5546875" style="161" customWidth="1"/>
    <col min="9" max="11" width="9.109375" style="161"/>
    <col min="12" max="12" width="2.5546875" style="161" customWidth="1"/>
    <col min="13" max="13" width="11.109375" style="161" customWidth="1"/>
    <col min="14" max="14" width="9.109375" style="161"/>
    <col min="15" max="15" width="11.6640625" style="161" customWidth="1"/>
    <col min="16" max="16" width="11.33203125" style="161" customWidth="1"/>
    <col min="17" max="17" width="9.109375" style="161"/>
    <col min="18" max="18" width="3.6640625" style="161" customWidth="1"/>
    <col min="19" max="19" width="14.88671875" style="161" customWidth="1"/>
    <col min="20" max="16384" width="9.109375" style="161"/>
  </cols>
  <sheetData>
    <row r="1" spans="1:25" s="163" customFormat="1" ht="14.4" thickBot="1">
      <c r="A1" s="1318" t="s">
        <v>19</v>
      </c>
      <c r="B1" s="1318"/>
      <c r="C1" s="1318"/>
      <c r="D1" s="177"/>
      <c r="E1" s="177"/>
      <c r="G1" s="1319" t="s">
        <v>76</v>
      </c>
      <c r="H1" s="1319"/>
      <c r="I1" s="1319"/>
      <c r="J1" s="166"/>
      <c r="K1" s="166"/>
      <c r="M1" s="167" t="s">
        <v>614</v>
      </c>
      <c r="N1" s="165"/>
      <c r="O1" s="168"/>
      <c r="P1" s="164"/>
      <c r="Q1" s="164"/>
      <c r="R1" s="164"/>
      <c r="S1" s="194" t="s">
        <v>126</v>
      </c>
      <c r="T1" s="161"/>
      <c r="U1" s="195"/>
      <c r="V1" s="195"/>
      <c r="W1" s="195"/>
    </row>
    <row r="2" spans="1:25" s="163" customFormat="1" ht="15.6" thickTop="1" thickBot="1">
      <c r="A2" s="213"/>
      <c r="B2" s="214" t="s">
        <v>612</v>
      </c>
      <c r="C2" s="215"/>
      <c r="D2" s="215"/>
      <c r="E2" s="216"/>
      <c r="G2" s="172"/>
      <c r="H2" s="169" t="s">
        <v>612</v>
      </c>
      <c r="I2" s="170"/>
      <c r="J2" s="170"/>
      <c r="K2" s="171"/>
      <c r="M2" s="173"/>
      <c r="N2" s="174" t="s">
        <v>612</v>
      </c>
      <c r="O2" s="175"/>
      <c r="P2" s="175"/>
      <c r="Q2" s="176"/>
      <c r="R2" s="177"/>
      <c r="S2" s="199"/>
      <c r="T2" s="200" t="s">
        <v>612</v>
      </c>
      <c r="U2" s="201"/>
      <c r="V2" s="201"/>
      <c r="W2" s="202"/>
      <c r="Y2" s="1135">
        <v>1.1200000000000001</v>
      </c>
    </row>
    <row r="3" spans="1:25" ht="13.8" thickBot="1">
      <c r="A3" s="217" t="s">
        <v>74</v>
      </c>
      <c r="B3" s="179" t="s">
        <v>15</v>
      </c>
      <c r="C3" s="180" t="s">
        <v>16</v>
      </c>
      <c r="D3" s="180" t="s">
        <v>17</v>
      </c>
      <c r="E3" s="181" t="s">
        <v>18</v>
      </c>
      <c r="G3" s="178" t="s">
        <v>74</v>
      </c>
      <c r="H3" s="179" t="s">
        <v>15</v>
      </c>
      <c r="I3" s="180" t="s">
        <v>16</v>
      </c>
      <c r="J3" s="180" t="s">
        <v>17</v>
      </c>
      <c r="K3" s="181" t="s">
        <v>18</v>
      </c>
      <c r="M3" s="182" t="s">
        <v>74</v>
      </c>
      <c r="N3" s="183" t="s">
        <v>15</v>
      </c>
      <c r="O3" s="184" t="s">
        <v>16</v>
      </c>
      <c r="P3" s="184" t="s">
        <v>17</v>
      </c>
      <c r="Q3" s="185" t="s">
        <v>18</v>
      </c>
      <c r="R3" s="186"/>
      <c r="S3" s="182" t="s">
        <v>613</v>
      </c>
      <c r="T3" s="203" t="s">
        <v>15</v>
      </c>
      <c r="U3" s="204" t="s">
        <v>16</v>
      </c>
      <c r="V3" s="204" t="s">
        <v>17</v>
      </c>
      <c r="W3" s="205" t="s">
        <v>18</v>
      </c>
    </row>
    <row r="4" spans="1:25" ht="13.8" thickBot="1">
      <c r="A4" s="187">
        <v>0</v>
      </c>
      <c r="B4" s="219">
        <v>0</v>
      </c>
      <c r="C4" s="219">
        <v>0</v>
      </c>
      <c r="D4" s="219">
        <v>0</v>
      </c>
      <c r="E4" s="219">
        <v>0</v>
      </c>
      <c r="F4" s="1136"/>
      <c r="G4" s="219">
        <v>0</v>
      </c>
      <c r="H4" s="219">
        <v>0</v>
      </c>
      <c r="I4" s="219">
        <v>0</v>
      </c>
      <c r="J4" s="219">
        <v>0</v>
      </c>
      <c r="K4" s="219">
        <v>0</v>
      </c>
      <c r="L4" s="1136"/>
      <c r="M4" s="219">
        <v>0</v>
      </c>
      <c r="N4" s="219">
        <v>0</v>
      </c>
      <c r="O4" s="219">
        <v>0</v>
      </c>
      <c r="P4" s="219">
        <v>0</v>
      </c>
      <c r="Q4" s="219">
        <v>0</v>
      </c>
      <c r="R4" s="1137"/>
      <c r="S4" s="219">
        <v>0</v>
      </c>
      <c r="T4" s="219">
        <v>0</v>
      </c>
      <c r="U4" s="219">
        <v>0</v>
      </c>
      <c r="V4" s="219">
        <v>0</v>
      </c>
      <c r="W4" s="219">
        <v>0</v>
      </c>
    </row>
    <row r="5" spans="1:25">
      <c r="A5" s="187">
        <v>3000</v>
      </c>
      <c r="B5" s="1138">
        <f>ROUND(B120*$Y$2/12,2)*12</f>
        <v>6.48</v>
      </c>
      <c r="C5" s="1138">
        <f t="shared" ref="C5:E5" si="0">ROUND(C120*$Y$2/12,2)*12</f>
        <v>9.7200000000000006</v>
      </c>
      <c r="D5" s="1138">
        <f t="shared" si="0"/>
        <v>12.96</v>
      </c>
      <c r="E5" s="1138">
        <f t="shared" si="0"/>
        <v>19.32</v>
      </c>
      <c r="F5" s="1136"/>
      <c r="G5" s="219">
        <v>3000</v>
      </c>
      <c r="H5" s="1138">
        <f>ROUND(H120*$Y$2/12,2)*12</f>
        <v>7.68</v>
      </c>
      <c r="I5" s="1138">
        <f t="shared" ref="I5:K5" si="1">ROUND(I120*$Y$2/12,2)*12</f>
        <v>11.52</v>
      </c>
      <c r="J5" s="1138">
        <f t="shared" si="1"/>
        <v>15.36</v>
      </c>
      <c r="K5" s="1138">
        <f t="shared" si="1"/>
        <v>23.04</v>
      </c>
      <c r="L5" s="1136"/>
      <c r="M5" s="219">
        <v>3000</v>
      </c>
      <c r="N5" s="1138">
        <f>ROUND(N120*$Y$2/12,2)*12</f>
        <v>12.96</v>
      </c>
      <c r="O5" s="1138">
        <f t="shared" ref="O5:Q5" si="2">ROUND(O120*$Y$2/12,2)*12</f>
        <v>19.32</v>
      </c>
      <c r="P5" s="1138">
        <f t="shared" si="2"/>
        <v>25.799999999999997</v>
      </c>
      <c r="Q5" s="1138">
        <f t="shared" si="2"/>
        <v>38.76</v>
      </c>
      <c r="R5" s="1139"/>
      <c r="S5" s="219">
        <v>3000</v>
      </c>
      <c r="T5" s="1140">
        <f>ROUND(T120*$Y$2/12,2)*12</f>
        <v>2.04</v>
      </c>
      <c r="U5" s="1140">
        <f t="shared" ref="U5:W5" si="3">ROUND(U120*$Y$2/12,2)*12</f>
        <v>3.12</v>
      </c>
      <c r="V5" s="1140">
        <f t="shared" si="3"/>
        <v>4.08</v>
      </c>
      <c r="W5" s="1140">
        <f t="shared" si="3"/>
        <v>6</v>
      </c>
    </row>
    <row r="6" spans="1:25">
      <c r="A6" s="189">
        <v>5000</v>
      </c>
      <c r="B6" s="1138">
        <f>ROUND(B121*$Y$2/12,2)*12</f>
        <v>10.8</v>
      </c>
      <c r="C6" s="1138">
        <f t="shared" ref="C6:E6" si="4">ROUND(C121*$Y$2/12,2)*12</f>
        <v>16.080000000000002</v>
      </c>
      <c r="D6" s="1138">
        <f t="shared" si="4"/>
        <v>21.48</v>
      </c>
      <c r="E6" s="1138">
        <f t="shared" si="4"/>
        <v>32.28</v>
      </c>
      <c r="F6" s="1136"/>
      <c r="G6" s="1141">
        <v>5000</v>
      </c>
      <c r="H6" s="1138">
        <f t="shared" ref="H6:K6" si="5">ROUND(H121*$Y$2/12,2)*12</f>
        <v>12.72</v>
      </c>
      <c r="I6" s="1138">
        <f t="shared" si="5"/>
        <v>19.200000000000003</v>
      </c>
      <c r="J6" s="1138">
        <f t="shared" si="5"/>
        <v>25.56</v>
      </c>
      <c r="K6" s="1138">
        <f t="shared" si="5"/>
        <v>38.28</v>
      </c>
      <c r="L6" s="1136"/>
      <c r="M6" s="1141">
        <v>5000</v>
      </c>
      <c r="N6" s="1138">
        <f t="shared" ref="N6:Q6" si="6">ROUND(N121*$Y$2/12,2)*12</f>
        <v>21.48</v>
      </c>
      <c r="O6" s="1138">
        <f t="shared" si="6"/>
        <v>32.28</v>
      </c>
      <c r="P6" s="1138">
        <f t="shared" si="6"/>
        <v>42.96</v>
      </c>
      <c r="Q6" s="1138">
        <f t="shared" si="6"/>
        <v>64.56</v>
      </c>
      <c r="R6" s="1139"/>
      <c r="S6" s="1141">
        <v>5000</v>
      </c>
      <c r="T6" s="1140">
        <f t="shared" ref="T6:W6" si="7">ROUND(T121*$Y$2/12,2)*12</f>
        <v>3.3600000000000003</v>
      </c>
      <c r="U6" s="1140">
        <f t="shared" si="7"/>
        <v>5.16</v>
      </c>
      <c r="V6" s="1140">
        <f t="shared" si="7"/>
        <v>6.7200000000000006</v>
      </c>
      <c r="W6" s="1140">
        <f t="shared" si="7"/>
        <v>10.08</v>
      </c>
    </row>
    <row r="7" spans="1:25">
      <c r="A7" s="189">
        <v>7000</v>
      </c>
      <c r="B7" s="1138">
        <f t="shared" ref="B7:E7" si="8">ROUND(B122*$Y$2/12,2)*12</f>
        <v>15</v>
      </c>
      <c r="C7" s="1138">
        <f t="shared" si="8"/>
        <v>22.56</v>
      </c>
      <c r="D7" s="1138">
        <f t="shared" si="8"/>
        <v>30.119999999999997</v>
      </c>
      <c r="E7" s="1138">
        <f t="shared" si="8"/>
        <v>45.12</v>
      </c>
      <c r="F7" s="1136"/>
      <c r="G7" s="1141">
        <v>7000</v>
      </c>
      <c r="H7" s="1138">
        <f t="shared" ref="H7:K7" si="9">ROUND(H122*$Y$2/12,2)*12</f>
        <v>17.88</v>
      </c>
      <c r="I7" s="1138">
        <f t="shared" si="9"/>
        <v>26.880000000000003</v>
      </c>
      <c r="J7" s="1138">
        <f t="shared" si="9"/>
        <v>35.76</v>
      </c>
      <c r="K7" s="1138">
        <f t="shared" si="9"/>
        <v>53.64</v>
      </c>
      <c r="L7" s="1136"/>
      <c r="M7" s="1141">
        <v>7000</v>
      </c>
      <c r="N7" s="1138">
        <f t="shared" ref="N7:Q7" si="10">ROUND(N122*$Y$2/12,2)*12</f>
        <v>30.119999999999997</v>
      </c>
      <c r="O7" s="1138">
        <f t="shared" si="10"/>
        <v>45.12</v>
      </c>
      <c r="P7" s="1138">
        <f t="shared" si="10"/>
        <v>60.239999999999995</v>
      </c>
      <c r="Q7" s="1138">
        <f t="shared" si="10"/>
        <v>90.36</v>
      </c>
      <c r="R7" s="1139"/>
      <c r="S7" s="1141">
        <v>7000</v>
      </c>
      <c r="T7" s="1140">
        <f t="shared" ref="T7:W7" si="11">ROUND(T122*$Y$2/12,2)*12</f>
        <v>4.68</v>
      </c>
      <c r="U7" s="1140">
        <f t="shared" si="11"/>
        <v>7.08</v>
      </c>
      <c r="V7" s="1140">
        <f t="shared" si="11"/>
        <v>9.36</v>
      </c>
      <c r="W7" s="1140">
        <f t="shared" si="11"/>
        <v>14.16</v>
      </c>
    </row>
    <row r="8" spans="1:25">
      <c r="A8" s="189">
        <v>9000</v>
      </c>
      <c r="B8" s="1138">
        <f t="shared" ref="B8:E8" si="12">ROUND(B123*$Y$2/12,2)*12</f>
        <v>19.32</v>
      </c>
      <c r="C8" s="1138">
        <f t="shared" si="12"/>
        <v>29.04</v>
      </c>
      <c r="D8" s="1138">
        <f t="shared" si="12"/>
        <v>38.76</v>
      </c>
      <c r="E8" s="1138">
        <f t="shared" si="12"/>
        <v>58.08</v>
      </c>
      <c r="F8" s="1136"/>
      <c r="G8" s="1141">
        <v>9000</v>
      </c>
      <c r="H8" s="1138">
        <f t="shared" ref="H8:K8" si="13">ROUND(H123*$Y$2/12,2)*12</f>
        <v>23.04</v>
      </c>
      <c r="I8" s="1138">
        <f t="shared" si="13"/>
        <v>34.56</v>
      </c>
      <c r="J8" s="1138">
        <f t="shared" si="13"/>
        <v>45.96</v>
      </c>
      <c r="K8" s="1138">
        <f t="shared" si="13"/>
        <v>69</v>
      </c>
      <c r="L8" s="1136"/>
      <c r="M8" s="1141">
        <v>9000</v>
      </c>
      <c r="N8" s="1138">
        <f t="shared" ref="N8:Q8" si="14">ROUND(N123*$Y$2/12,2)*12</f>
        <v>38.76</v>
      </c>
      <c r="O8" s="1138">
        <f t="shared" si="14"/>
        <v>58.08</v>
      </c>
      <c r="P8" s="1138">
        <f t="shared" si="14"/>
        <v>77.400000000000006</v>
      </c>
      <c r="Q8" s="1138">
        <f t="shared" si="14"/>
        <v>116.16</v>
      </c>
      <c r="R8" s="1139"/>
      <c r="S8" s="1141">
        <v>9000</v>
      </c>
      <c r="T8" s="1140">
        <f t="shared" ref="T8:W8" si="15">ROUND(T123*$Y$2/12,2)*12</f>
        <v>6</v>
      </c>
      <c r="U8" s="1140">
        <f t="shared" si="15"/>
        <v>9.120000000000001</v>
      </c>
      <c r="V8" s="1140">
        <f t="shared" si="15"/>
        <v>12.120000000000001</v>
      </c>
      <c r="W8" s="1140">
        <f t="shared" si="15"/>
        <v>18.12</v>
      </c>
    </row>
    <row r="9" spans="1:25">
      <c r="A9" s="189">
        <v>11000</v>
      </c>
      <c r="B9" s="1138">
        <f t="shared" ref="B9:E9" si="16">ROUND(B124*$Y$2/12,2)*12</f>
        <v>23.64</v>
      </c>
      <c r="C9" s="1138">
        <f t="shared" si="16"/>
        <v>35.519999999999996</v>
      </c>
      <c r="D9" s="1138">
        <f t="shared" si="16"/>
        <v>47.28</v>
      </c>
      <c r="E9" s="1138">
        <f t="shared" si="16"/>
        <v>70.92</v>
      </c>
      <c r="F9" s="1136"/>
      <c r="G9" s="1141">
        <v>11000</v>
      </c>
      <c r="H9" s="1138">
        <f t="shared" ref="H9:K9" si="17">ROUND(H124*$Y$2/12,2)*12</f>
        <v>28.08</v>
      </c>
      <c r="I9" s="1138">
        <f t="shared" si="17"/>
        <v>42.24</v>
      </c>
      <c r="J9" s="1138">
        <f t="shared" si="17"/>
        <v>56.16</v>
      </c>
      <c r="K9" s="1138">
        <f t="shared" si="17"/>
        <v>84.24</v>
      </c>
      <c r="L9" s="1136"/>
      <c r="M9" s="1141">
        <v>11000</v>
      </c>
      <c r="N9" s="1138">
        <f t="shared" ref="N9:Q9" si="18">ROUND(N124*$Y$2/12,2)*12</f>
        <v>47.28</v>
      </c>
      <c r="O9" s="1138">
        <f t="shared" si="18"/>
        <v>70.92</v>
      </c>
      <c r="P9" s="1138">
        <f t="shared" si="18"/>
        <v>94.56</v>
      </c>
      <c r="Q9" s="1138">
        <f t="shared" si="18"/>
        <v>141.96</v>
      </c>
      <c r="R9" s="1139"/>
      <c r="S9" s="1141">
        <v>11000</v>
      </c>
      <c r="T9" s="1140">
        <f t="shared" ref="T9:W9" si="19">ROUND(T124*$Y$2/12,2)*12</f>
        <v>7.4399999999999995</v>
      </c>
      <c r="U9" s="1140">
        <f t="shared" si="19"/>
        <v>11.16</v>
      </c>
      <c r="V9" s="1140">
        <f t="shared" si="19"/>
        <v>14.76</v>
      </c>
      <c r="W9" s="1140">
        <f t="shared" si="19"/>
        <v>22.200000000000003</v>
      </c>
    </row>
    <row r="10" spans="1:25">
      <c r="A10" s="189">
        <v>13000</v>
      </c>
      <c r="B10" s="1138">
        <f t="shared" ref="B10:E10" si="20">ROUND(B125*$Y$2/12,2)*12</f>
        <v>27.96</v>
      </c>
      <c r="C10" s="1138">
        <f t="shared" si="20"/>
        <v>41.88</v>
      </c>
      <c r="D10" s="1138">
        <f t="shared" si="20"/>
        <v>55.92</v>
      </c>
      <c r="E10" s="1138">
        <f t="shared" si="20"/>
        <v>83.88</v>
      </c>
      <c r="F10" s="1136"/>
      <c r="G10" s="1141">
        <v>13000</v>
      </c>
      <c r="H10" s="1138">
        <f t="shared" ref="H10:K10" si="21">ROUND(H125*$Y$2/12,2)*12</f>
        <v>33.24</v>
      </c>
      <c r="I10" s="1138">
        <f t="shared" si="21"/>
        <v>49.92</v>
      </c>
      <c r="J10" s="1138">
        <f t="shared" si="21"/>
        <v>66.36</v>
      </c>
      <c r="K10" s="1138">
        <f t="shared" si="21"/>
        <v>99.600000000000009</v>
      </c>
      <c r="L10" s="1136"/>
      <c r="M10" s="1141">
        <v>13000</v>
      </c>
      <c r="N10" s="1138">
        <f t="shared" ref="N10:Q10" si="22">ROUND(N125*$Y$2/12,2)*12</f>
        <v>55.92</v>
      </c>
      <c r="O10" s="1138">
        <f t="shared" si="22"/>
        <v>83.88</v>
      </c>
      <c r="P10" s="1138">
        <f t="shared" si="22"/>
        <v>111.84</v>
      </c>
      <c r="Q10" s="1138">
        <f t="shared" si="22"/>
        <v>167.76</v>
      </c>
      <c r="R10" s="1139"/>
      <c r="S10" s="1141">
        <v>13000</v>
      </c>
      <c r="T10" s="1140">
        <f t="shared" ref="T10:W10" si="23">ROUND(T125*$Y$2/12,2)*12</f>
        <v>8.76</v>
      </c>
      <c r="U10" s="1140">
        <f t="shared" si="23"/>
        <v>13.200000000000001</v>
      </c>
      <c r="V10" s="1140">
        <f t="shared" si="23"/>
        <v>17.52</v>
      </c>
      <c r="W10" s="1140">
        <f t="shared" si="23"/>
        <v>26.160000000000004</v>
      </c>
    </row>
    <row r="11" spans="1:25">
      <c r="A11" s="189">
        <v>15000</v>
      </c>
      <c r="B11" s="1138">
        <f t="shared" ref="B11:E11" si="24">ROUND(B126*$Y$2/12,2)*12</f>
        <v>32.28</v>
      </c>
      <c r="C11" s="1138">
        <f t="shared" si="24"/>
        <v>48.36</v>
      </c>
      <c r="D11" s="1138">
        <f t="shared" si="24"/>
        <v>64.56</v>
      </c>
      <c r="E11" s="1138">
        <f t="shared" si="24"/>
        <v>96.72</v>
      </c>
      <c r="F11" s="1136"/>
      <c r="G11" s="1141">
        <v>15000</v>
      </c>
      <c r="H11" s="1138">
        <f t="shared" ref="H11:K11" si="25">ROUND(H126*$Y$2/12,2)*12</f>
        <v>38.28</v>
      </c>
      <c r="I11" s="1138">
        <f t="shared" si="25"/>
        <v>57.480000000000004</v>
      </c>
      <c r="J11" s="1138">
        <f t="shared" si="25"/>
        <v>76.56</v>
      </c>
      <c r="K11" s="1138">
        <f t="shared" si="25"/>
        <v>114.96000000000001</v>
      </c>
      <c r="L11" s="1136"/>
      <c r="M11" s="1141">
        <v>15000</v>
      </c>
      <c r="N11" s="1138">
        <f t="shared" ref="N11:Q11" si="26">ROUND(N126*$Y$2/12,2)*12</f>
        <v>64.56</v>
      </c>
      <c r="O11" s="1138">
        <f t="shared" si="26"/>
        <v>96.72</v>
      </c>
      <c r="P11" s="1138">
        <f t="shared" si="26"/>
        <v>129</v>
      </c>
      <c r="Q11" s="1138">
        <f t="shared" si="26"/>
        <v>193.56</v>
      </c>
      <c r="R11" s="1139"/>
      <c r="S11" s="1141">
        <v>15000</v>
      </c>
      <c r="T11" s="1140">
        <f t="shared" ref="T11:W11" si="27">ROUND(T126*$Y$2/12,2)*12</f>
        <v>10.08</v>
      </c>
      <c r="U11" s="1140">
        <f t="shared" si="27"/>
        <v>15.24</v>
      </c>
      <c r="V11" s="1140">
        <f t="shared" si="27"/>
        <v>20.16</v>
      </c>
      <c r="W11" s="1140">
        <f t="shared" si="27"/>
        <v>30.240000000000002</v>
      </c>
    </row>
    <row r="12" spans="1:25">
      <c r="A12" s="189">
        <v>17000</v>
      </c>
      <c r="B12" s="1138">
        <f t="shared" ref="B12:E12" si="28">ROUND(B127*$Y$2/12,2)*12</f>
        <v>36.599999999999994</v>
      </c>
      <c r="C12" s="1138">
        <f t="shared" si="28"/>
        <v>54.84</v>
      </c>
      <c r="D12" s="1138">
        <f t="shared" si="28"/>
        <v>73.08</v>
      </c>
      <c r="E12" s="1138">
        <f t="shared" si="28"/>
        <v>109.68</v>
      </c>
      <c r="F12" s="1136"/>
      <c r="G12" s="1141">
        <v>17000</v>
      </c>
      <c r="H12" s="1138">
        <f t="shared" ref="H12:K12" si="29">ROUND(H127*$Y$2/12,2)*12</f>
        <v>43.44</v>
      </c>
      <c r="I12" s="1138">
        <f t="shared" si="29"/>
        <v>65.16</v>
      </c>
      <c r="J12" s="1138">
        <f t="shared" si="29"/>
        <v>86.88</v>
      </c>
      <c r="K12" s="1138">
        <f t="shared" si="29"/>
        <v>130.19999999999999</v>
      </c>
      <c r="L12" s="1136"/>
      <c r="M12" s="1141">
        <v>17000</v>
      </c>
      <c r="N12" s="1138">
        <f t="shared" ref="N12:Q12" si="30">ROUND(N127*$Y$2/12,2)*12</f>
        <v>73.08</v>
      </c>
      <c r="O12" s="1138">
        <f t="shared" si="30"/>
        <v>109.68</v>
      </c>
      <c r="P12" s="1138">
        <f t="shared" si="30"/>
        <v>146.28</v>
      </c>
      <c r="Q12" s="1138">
        <f t="shared" si="30"/>
        <v>219.36</v>
      </c>
      <c r="R12" s="1139"/>
      <c r="S12" s="1141">
        <v>17000</v>
      </c>
      <c r="T12" s="1140">
        <f t="shared" ref="T12:W12" si="31">ROUND(T127*$Y$2/12,2)*12</f>
        <v>11.399999999999999</v>
      </c>
      <c r="U12" s="1140">
        <f t="shared" si="31"/>
        <v>17.16</v>
      </c>
      <c r="V12" s="1140">
        <f t="shared" si="31"/>
        <v>22.799999999999997</v>
      </c>
      <c r="W12" s="1140">
        <f t="shared" si="31"/>
        <v>34.32</v>
      </c>
    </row>
    <row r="13" spans="1:25">
      <c r="A13" s="189">
        <v>19000</v>
      </c>
      <c r="B13" s="1138">
        <f t="shared" ref="B13:E13" si="32">ROUND(B128*$Y$2/12,2)*12</f>
        <v>40.799999999999997</v>
      </c>
      <c r="C13" s="1138">
        <f t="shared" si="32"/>
        <v>61.320000000000007</v>
      </c>
      <c r="D13" s="1138">
        <f t="shared" si="32"/>
        <v>81.72</v>
      </c>
      <c r="E13" s="1138">
        <f t="shared" si="32"/>
        <v>122.52000000000001</v>
      </c>
      <c r="F13" s="1136"/>
      <c r="G13" s="1141">
        <v>19000</v>
      </c>
      <c r="H13" s="1138">
        <f t="shared" ref="H13:K13" si="33">ROUND(H128*$Y$2/12,2)*12</f>
        <v>48.480000000000004</v>
      </c>
      <c r="I13" s="1138">
        <f t="shared" si="33"/>
        <v>72.84</v>
      </c>
      <c r="J13" s="1138">
        <f t="shared" si="33"/>
        <v>97.08</v>
      </c>
      <c r="K13" s="1138">
        <f t="shared" si="33"/>
        <v>145.56</v>
      </c>
      <c r="L13" s="1136"/>
      <c r="M13" s="1141">
        <v>19000</v>
      </c>
      <c r="N13" s="1138">
        <f t="shared" ref="N13:Q13" si="34">ROUND(N128*$Y$2/12,2)*12</f>
        <v>81.72</v>
      </c>
      <c r="O13" s="1138">
        <f t="shared" si="34"/>
        <v>122.52000000000001</v>
      </c>
      <c r="P13" s="1138">
        <f t="shared" si="34"/>
        <v>163.44</v>
      </c>
      <c r="Q13" s="1138">
        <f t="shared" si="34"/>
        <v>245.16</v>
      </c>
      <c r="R13" s="1139"/>
      <c r="S13" s="1141">
        <v>19000</v>
      </c>
      <c r="T13" s="1140">
        <f t="shared" ref="T13:W13" si="35">ROUND(T128*$Y$2/12,2)*12</f>
        <v>12.72</v>
      </c>
      <c r="U13" s="1140">
        <f t="shared" si="35"/>
        <v>19.200000000000003</v>
      </c>
      <c r="V13" s="1140">
        <f t="shared" si="35"/>
        <v>25.56</v>
      </c>
      <c r="W13" s="1140">
        <f t="shared" si="35"/>
        <v>38.28</v>
      </c>
    </row>
    <row r="14" spans="1:25">
      <c r="A14" s="189">
        <v>21000</v>
      </c>
      <c r="B14" s="1138">
        <f t="shared" ref="B14:E14" si="36">ROUND(B129*$Y$2/12,2)*12</f>
        <v>45.12</v>
      </c>
      <c r="C14" s="1138">
        <f t="shared" si="36"/>
        <v>67.679999999999993</v>
      </c>
      <c r="D14" s="1138">
        <f t="shared" si="36"/>
        <v>90.36</v>
      </c>
      <c r="E14" s="1138">
        <f t="shared" si="36"/>
        <v>135.47999999999999</v>
      </c>
      <c r="F14" s="1136"/>
      <c r="G14" s="1141">
        <v>21000</v>
      </c>
      <c r="H14" s="1138">
        <f t="shared" ref="H14:K14" si="37">ROUND(H129*$Y$2/12,2)*12</f>
        <v>53.64</v>
      </c>
      <c r="I14" s="1138">
        <f t="shared" si="37"/>
        <v>80.52</v>
      </c>
      <c r="J14" s="1138">
        <f t="shared" si="37"/>
        <v>107.28</v>
      </c>
      <c r="K14" s="1138">
        <f t="shared" si="37"/>
        <v>160.92000000000002</v>
      </c>
      <c r="L14" s="1136"/>
      <c r="M14" s="1141">
        <v>21000</v>
      </c>
      <c r="N14" s="1138">
        <f t="shared" ref="N14:Q14" si="38">ROUND(N129*$Y$2/12,2)*12</f>
        <v>90.36</v>
      </c>
      <c r="O14" s="1138">
        <f t="shared" si="38"/>
        <v>135.47999999999999</v>
      </c>
      <c r="P14" s="1138">
        <f t="shared" si="38"/>
        <v>180.60000000000002</v>
      </c>
      <c r="Q14" s="1138">
        <f t="shared" si="38"/>
        <v>270.95999999999998</v>
      </c>
      <c r="R14" s="1139"/>
      <c r="S14" s="1141">
        <v>21000</v>
      </c>
      <c r="T14" s="1140">
        <f t="shared" ref="T14:W14" si="39">ROUND(T129*$Y$2/12,2)*12</f>
        <v>14.16</v>
      </c>
      <c r="U14" s="1140">
        <f t="shared" si="39"/>
        <v>21.240000000000002</v>
      </c>
      <c r="V14" s="1140">
        <f t="shared" si="39"/>
        <v>28.200000000000003</v>
      </c>
      <c r="W14" s="1140">
        <f t="shared" si="39"/>
        <v>42.36</v>
      </c>
    </row>
    <row r="15" spans="1:25">
      <c r="A15" s="189">
        <v>23000</v>
      </c>
      <c r="B15" s="1138">
        <f t="shared" ref="B15:E15" si="40">ROUND(B130*$Y$2/12,2)*12</f>
        <v>49.44</v>
      </c>
      <c r="C15" s="1138">
        <f t="shared" si="40"/>
        <v>74.16</v>
      </c>
      <c r="D15" s="1138">
        <f t="shared" si="40"/>
        <v>98.88</v>
      </c>
      <c r="E15" s="1138">
        <f t="shared" si="40"/>
        <v>148.32</v>
      </c>
      <c r="F15" s="1136"/>
      <c r="G15" s="1141">
        <v>23000</v>
      </c>
      <c r="H15" s="1138">
        <f t="shared" ref="H15:K15" si="41">ROUND(H130*$Y$2/12,2)*12</f>
        <v>58.679999999999993</v>
      </c>
      <c r="I15" s="1138">
        <f t="shared" si="41"/>
        <v>88.199999999999989</v>
      </c>
      <c r="J15" s="1138">
        <f t="shared" si="41"/>
        <v>117.47999999999999</v>
      </c>
      <c r="K15" s="1138">
        <f t="shared" si="41"/>
        <v>176.16</v>
      </c>
      <c r="L15" s="1136"/>
      <c r="M15" s="1141">
        <v>23000</v>
      </c>
      <c r="N15" s="1138">
        <f t="shared" ref="N15:Q15" si="42">ROUND(N130*$Y$2/12,2)*12</f>
        <v>98.88</v>
      </c>
      <c r="O15" s="1138">
        <f t="shared" si="42"/>
        <v>148.32</v>
      </c>
      <c r="P15" s="1138">
        <f t="shared" si="42"/>
        <v>197.88</v>
      </c>
      <c r="Q15" s="1138">
        <f t="shared" si="42"/>
        <v>296.76</v>
      </c>
      <c r="R15" s="1139"/>
      <c r="S15" s="1141">
        <v>23000</v>
      </c>
      <c r="T15" s="1140">
        <f t="shared" ref="T15:W15" si="43">ROUND(T130*$Y$2/12,2)*12</f>
        <v>15.48</v>
      </c>
      <c r="U15" s="1140">
        <f t="shared" si="43"/>
        <v>23.28</v>
      </c>
      <c r="V15" s="1140">
        <f t="shared" si="43"/>
        <v>30.96</v>
      </c>
      <c r="W15" s="1140">
        <f t="shared" si="43"/>
        <v>46.32</v>
      </c>
    </row>
    <row r="16" spans="1:25">
      <c r="A16" s="189">
        <v>25000</v>
      </c>
      <c r="B16" s="1138">
        <f t="shared" ref="B16:E16" si="44">ROUND(B131*$Y$2/12,2)*12</f>
        <v>53.760000000000005</v>
      </c>
      <c r="C16" s="1138">
        <f t="shared" si="44"/>
        <v>80.64</v>
      </c>
      <c r="D16" s="1138">
        <f t="shared" si="44"/>
        <v>107.52000000000001</v>
      </c>
      <c r="E16" s="1138">
        <f t="shared" si="44"/>
        <v>161.28</v>
      </c>
      <c r="F16" s="1136"/>
      <c r="G16" s="1141">
        <v>25000</v>
      </c>
      <c r="H16" s="1138">
        <f t="shared" ref="H16:K16" si="45">ROUND(H131*$Y$2/12,2)*12</f>
        <v>63.84</v>
      </c>
      <c r="I16" s="1138">
        <f t="shared" si="45"/>
        <v>95.88</v>
      </c>
      <c r="J16" s="1138">
        <f t="shared" si="45"/>
        <v>127.68</v>
      </c>
      <c r="K16" s="1138">
        <f t="shared" si="45"/>
        <v>191.52</v>
      </c>
      <c r="L16" s="1136"/>
      <c r="M16" s="1141">
        <v>25000</v>
      </c>
      <c r="N16" s="1138">
        <f t="shared" ref="N16:Q16" si="46">ROUND(N131*$Y$2/12,2)*12</f>
        <v>107.52000000000001</v>
      </c>
      <c r="O16" s="1138">
        <f t="shared" si="46"/>
        <v>161.28</v>
      </c>
      <c r="P16" s="1138">
        <f t="shared" si="46"/>
        <v>215.04000000000002</v>
      </c>
      <c r="Q16" s="1138">
        <f t="shared" si="46"/>
        <v>322.56</v>
      </c>
      <c r="R16" s="1139"/>
      <c r="S16" s="1141">
        <v>25000</v>
      </c>
      <c r="T16" s="1140">
        <f t="shared" ref="T16:W16" si="47">ROUND(T131*$Y$2/12,2)*12</f>
        <v>16.799999999999997</v>
      </c>
      <c r="U16" s="1140">
        <f t="shared" si="47"/>
        <v>25.32</v>
      </c>
      <c r="V16" s="1140">
        <f t="shared" si="47"/>
        <v>33.599999999999994</v>
      </c>
      <c r="W16" s="1140">
        <f t="shared" si="47"/>
        <v>50.400000000000006</v>
      </c>
    </row>
    <row r="17" spans="1:23">
      <c r="A17" s="189">
        <v>27000</v>
      </c>
      <c r="B17" s="1138">
        <f t="shared" ref="B17:E17" si="48">ROUND(B132*$Y$2/12,2)*12</f>
        <v>58.08</v>
      </c>
      <c r="C17" s="1138">
        <f t="shared" si="48"/>
        <v>87.12</v>
      </c>
      <c r="D17" s="1138">
        <f t="shared" si="48"/>
        <v>116.16</v>
      </c>
      <c r="E17" s="1138">
        <f t="shared" si="48"/>
        <v>174.24</v>
      </c>
      <c r="F17" s="1136"/>
      <c r="G17" s="1141">
        <v>27000</v>
      </c>
      <c r="H17" s="1138">
        <f t="shared" ref="H17:K17" si="49">ROUND(H132*$Y$2/12,2)*12</f>
        <v>69</v>
      </c>
      <c r="I17" s="1138">
        <f t="shared" si="49"/>
        <v>103.44</v>
      </c>
      <c r="J17" s="1138">
        <f t="shared" si="49"/>
        <v>137.88</v>
      </c>
      <c r="K17" s="1138">
        <f t="shared" si="49"/>
        <v>206.88</v>
      </c>
      <c r="L17" s="1136"/>
      <c r="M17" s="1141">
        <v>27000</v>
      </c>
      <c r="N17" s="1138">
        <f t="shared" ref="N17:Q17" si="50">ROUND(N132*$Y$2/12,2)*12</f>
        <v>116.16</v>
      </c>
      <c r="O17" s="1138">
        <f t="shared" si="50"/>
        <v>174.24</v>
      </c>
      <c r="P17" s="1138">
        <f t="shared" si="50"/>
        <v>232.20000000000002</v>
      </c>
      <c r="Q17" s="1138">
        <f t="shared" si="50"/>
        <v>348.36</v>
      </c>
      <c r="R17" s="1139"/>
      <c r="S17" s="1141">
        <v>27000</v>
      </c>
      <c r="T17" s="1140">
        <f t="shared" ref="T17:W17" si="51">ROUND(T132*$Y$2/12,2)*12</f>
        <v>18.12</v>
      </c>
      <c r="U17" s="1140">
        <f t="shared" si="51"/>
        <v>27.240000000000002</v>
      </c>
      <c r="V17" s="1140">
        <f t="shared" si="51"/>
        <v>36.24</v>
      </c>
      <c r="W17" s="1140">
        <f t="shared" si="51"/>
        <v>54.480000000000004</v>
      </c>
    </row>
    <row r="18" spans="1:23">
      <c r="A18" s="189">
        <v>29000</v>
      </c>
      <c r="B18" s="1138">
        <f t="shared" ref="B18:E18" si="52">ROUND(B133*$Y$2/12,2)*12</f>
        <v>62.400000000000006</v>
      </c>
      <c r="C18" s="1138">
        <f t="shared" si="52"/>
        <v>93.6</v>
      </c>
      <c r="D18" s="1138">
        <f t="shared" si="52"/>
        <v>124.68</v>
      </c>
      <c r="E18" s="1138">
        <f t="shared" si="52"/>
        <v>187.07999999999998</v>
      </c>
      <c r="F18" s="1136"/>
      <c r="G18" s="1141">
        <v>29000</v>
      </c>
      <c r="H18" s="1138">
        <f t="shared" ref="H18:K18" si="53">ROUND(H133*$Y$2/12,2)*12</f>
        <v>74.039999999999992</v>
      </c>
      <c r="I18" s="1138">
        <f t="shared" si="53"/>
        <v>111.12</v>
      </c>
      <c r="J18" s="1138">
        <f t="shared" si="53"/>
        <v>148.07999999999998</v>
      </c>
      <c r="K18" s="1138">
        <f t="shared" si="53"/>
        <v>222.12</v>
      </c>
      <c r="L18" s="1136"/>
      <c r="M18" s="1141">
        <v>29000</v>
      </c>
      <c r="N18" s="1138">
        <f t="shared" ref="N18:Q18" si="54">ROUND(N133*$Y$2/12,2)*12</f>
        <v>124.68</v>
      </c>
      <c r="O18" s="1138">
        <f t="shared" si="54"/>
        <v>187.07999999999998</v>
      </c>
      <c r="P18" s="1138">
        <f t="shared" si="54"/>
        <v>249.48</v>
      </c>
      <c r="Q18" s="1138">
        <f t="shared" si="54"/>
        <v>374.15999999999997</v>
      </c>
      <c r="R18" s="1139"/>
      <c r="S18" s="1141">
        <v>29000</v>
      </c>
      <c r="T18" s="1140">
        <f t="shared" ref="T18:W18" si="55">ROUND(T133*$Y$2/12,2)*12</f>
        <v>19.440000000000001</v>
      </c>
      <c r="U18" s="1140">
        <f t="shared" si="55"/>
        <v>29.28</v>
      </c>
      <c r="V18" s="1140">
        <f t="shared" si="55"/>
        <v>39</v>
      </c>
      <c r="W18" s="1140">
        <f t="shared" si="55"/>
        <v>58.44</v>
      </c>
    </row>
    <row r="19" spans="1:23">
      <c r="A19" s="189">
        <v>31000</v>
      </c>
      <c r="B19" s="1138">
        <f t="shared" ref="B19:E19" si="56">ROUND(B134*$Y$2/12,2)*12</f>
        <v>66.72</v>
      </c>
      <c r="C19" s="1138">
        <f t="shared" si="56"/>
        <v>99.960000000000008</v>
      </c>
      <c r="D19" s="1138">
        <f t="shared" si="56"/>
        <v>133.32</v>
      </c>
      <c r="E19" s="1138">
        <f t="shared" si="56"/>
        <v>200.04000000000002</v>
      </c>
      <c r="F19" s="1136"/>
      <c r="G19" s="1141">
        <v>31000</v>
      </c>
      <c r="H19" s="1138">
        <f t="shared" ref="H19:K19" si="57">ROUND(H134*$Y$2/12,2)*12</f>
        <v>79.199999999999989</v>
      </c>
      <c r="I19" s="1138">
        <f t="shared" si="57"/>
        <v>118.80000000000001</v>
      </c>
      <c r="J19" s="1138">
        <f t="shared" si="57"/>
        <v>158.28</v>
      </c>
      <c r="K19" s="1138">
        <f t="shared" si="57"/>
        <v>237.48</v>
      </c>
      <c r="L19" s="1136"/>
      <c r="M19" s="1141">
        <v>31000</v>
      </c>
      <c r="N19" s="1138">
        <f t="shared" ref="N19:Q19" si="58">ROUND(N134*$Y$2/12,2)*12</f>
        <v>133.32</v>
      </c>
      <c r="O19" s="1138">
        <f t="shared" si="58"/>
        <v>200.04000000000002</v>
      </c>
      <c r="P19" s="1138">
        <f t="shared" si="58"/>
        <v>266.64</v>
      </c>
      <c r="Q19" s="1138">
        <f t="shared" si="58"/>
        <v>399.96</v>
      </c>
      <c r="R19" s="1139"/>
      <c r="S19" s="1141">
        <v>31000</v>
      </c>
      <c r="T19" s="1140">
        <f t="shared" ref="T19:W19" si="59">ROUND(T134*$Y$2/12,2)*12</f>
        <v>20.88</v>
      </c>
      <c r="U19" s="1140">
        <f t="shared" si="59"/>
        <v>31.32</v>
      </c>
      <c r="V19" s="1140">
        <f t="shared" si="59"/>
        <v>41.64</v>
      </c>
      <c r="W19" s="1140">
        <f t="shared" si="59"/>
        <v>62.519999999999996</v>
      </c>
    </row>
    <row r="20" spans="1:23">
      <c r="A20" s="189">
        <v>33000</v>
      </c>
      <c r="B20" s="1138">
        <f t="shared" ref="B20:E20" si="60">ROUND(B135*$Y$2/12,2)*12</f>
        <v>70.92</v>
      </c>
      <c r="C20" s="1138">
        <f t="shared" si="60"/>
        <v>106.44</v>
      </c>
      <c r="D20" s="1138">
        <f t="shared" si="60"/>
        <v>141.96</v>
      </c>
      <c r="E20" s="1138">
        <f t="shared" si="60"/>
        <v>212.88</v>
      </c>
      <c r="F20" s="1136"/>
      <c r="G20" s="1141">
        <v>33000</v>
      </c>
      <c r="H20" s="1138">
        <f t="shared" ref="H20:K20" si="61">ROUND(H135*$Y$2/12,2)*12</f>
        <v>84.24</v>
      </c>
      <c r="I20" s="1138">
        <f t="shared" si="61"/>
        <v>126.47999999999999</v>
      </c>
      <c r="J20" s="1138">
        <f t="shared" si="61"/>
        <v>168.48</v>
      </c>
      <c r="K20" s="1138">
        <f t="shared" si="61"/>
        <v>252.84</v>
      </c>
      <c r="L20" s="1136"/>
      <c r="M20" s="1141">
        <v>33000</v>
      </c>
      <c r="N20" s="1138">
        <f t="shared" ref="N20:Q20" si="62">ROUND(N135*$Y$2/12,2)*12</f>
        <v>141.96</v>
      </c>
      <c r="O20" s="1138">
        <f t="shared" si="62"/>
        <v>212.88</v>
      </c>
      <c r="P20" s="1138">
        <f t="shared" si="62"/>
        <v>283.79999999999995</v>
      </c>
      <c r="Q20" s="1138">
        <f t="shared" si="62"/>
        <v>425.76</v>
      </c>
      <c r="R20" s="1139"/>
      <c r="S20" s="1141">
        <v>33000</v>
      </c>
      <c r="T20" s="1140">
        <f t="shared" ref="T20:W20" si="63">ROUND(T135*$Y$2/12,2)*12</f>
        <v>22.200000000000003</v>
      </c>
      <c r="U20" s="1140">
        <f t="shared" si="63"/>
        <v>33.36</v>
      </c>
      <c r="V20" s="1140">
        <f t="shared" si="63"/>
        <v>44.400000000000006</v>
      </c>
      <c r="W20" s="1140">
        <f t="shared" si="63"/>
        <v>66.48</v>
      </c>
    </row>
    <row r="21" spans="1:23" ht="13.8" thickBot="1">
      <c r="A21" s="189">
        <v>35000</v>
      </c>
      <c r="B21" s="1138">
        <f t="shared" ref="B21:E21" si="64">ROUND(B136*$Y$2/12,2)*12</f>
        <v>75.239999999999995</v>
      </c>
      <c r="C21" s="1138">
        <f t="shared" si="64"/>
        <v>112.92</v>
      </c>
      <c r="D21" s="1138">
        <f t="shared" si="64"/>
        <v>150.47999999999999</v>
      </c>
      <c r="E21" s="1138">
        <f t="shared" si="64"/>
        <v>225.84</v>
      </c>
      <c r="F21" s="1136"/>
      <c r="G21" s="1141">
        <v>35000</v>
      </c>
      <c r="H21" s="1138">
        <f t="shared" ref="H21:K21" si="65">ROUND(H136*$Y$2/12,2)*12</f>
        <v>89.4</v>
      </c>
      <c r="I21" s="1138">
        <f t="shared" si="65"/>
        <v>134.16</v>
      </c>
      <c r="J21" s="1138">
        <f t="shared" si="65"/>
        <v>178.8</v>
      </c>
      <c r="K21" s="1138">
        <f t="shared" si="65"/>
        <v>268.08</v>
      </c>
      <c r="L21" s="1136"/>
      <c r="M21" s="1142">
        <v>35000</v>
      </c>
      <c r="N21" s="1138">
        <f t="shared" ref="N21:Q21" si="66">ROUND(N136*$Y$2/12,2)*12</f>
        <v>150.47999999999999</v>
      </c>
      <c r="O21" s="1138">
        <f t="shared" si="66"/>
        <v>225.84</v>
      </c>
      <c r="P21" s="1138">
        <f t="shared" si="66"/>
        <v>301.08</v>
      </c>
      <c r="Q21" s="1138">
        <f t="shared" si="66"/>
        <v>451.56000000000006</v>
      </c>
      <c r="R21" s="1139"/>
      <c r="S21" s="1143">
        <v>35000</v>
      </c>
      <c r="T21" s="1140">
        <f t="shared" ref="T21:W21" si="67">ROUND(T136*$Y$2/12,2)*12</f>
        <v>23.52</v>
      </c>
      <c r="U21" s="1140">
        <f t="shared" si="67"/>
        <v>35.400000000000006</v>
      </c>
      <c r="V21" s="1140">
        <f t="shared" si="67"/>
        <v>47.04</v>
      </c>
      <c r="W21" s="1140">
        <f t="shared" si="67"/>
        <v>70.56</v>
      </c>
    </row>
    <row r="22" spans="1:23">
      <c r="A22" s="189">
        <v>37000</v>
      </c>
      <c r="B22" s="1138">
        <f t="shared" ref="B22:E22" si="68">ROUND(B137*$Y$2/12,2)*12</f>
        <v>79.56</v>
      </c>
      <c r="C22" s="1138">
        <f t="shared" si="68"/>
        <v>119.39999999999999</v>
      </c>
      <c r="D22" s="1138">
        <f t="shared" si="68"/>
        <v>159.12</v>
      </c>
      <c r="E22" s="1138">
        <f t="shared" si="68"/>
        <v>238.68</v>
      </c>
      <c r="F22" s="1136"/>
      <c r="G22" s="1141">
        <v>37000</v>
      </c>
      <c r="H22" s="1138">
        <f t="shared" ref="H22:K22" si="69">ROUND(H137*$Y$2/12,2)*12</f>
        <v>94.44</v>
      </c>
      <c r="I22" s="1138">
        <f t="shared" si="69"/>
        <v>141.84</v>
      </c>
      <c r="J22" s="1138">
        <f t="shared" si="69"/>
        <v>189</v>
      </c>
      <c r="K22" s="1138">
        <f t="shared" si="69"/>
        <v>283.44</v>
      </c>
      <c r="L22" s="1136"/>
      <c r="M22" s="1144"/>
      <c r="N22" s="1144"/>
      <c r="O22" s="1144"/>
      <c r="P22" s="1144"/>
      <c r="Q22" s="1144"/>
      <c r="R22" s="1144"/>
      <c r="S22" s="1141">
        <v>37000</v>
      </c>
      <c r="T22" s="1140">
        <f t="shared" ref="T22:W22" si="70">ROUND(T137*$Y$2/12,2)*12</f>
        <v>24.839999999999996</v>
      </c>
      <c r="U22" s="1140">
        <f t="shared" si="70"/>
        <v>37.32</v>
      </c>
      <c r="V22" s="1140">
        <f t="shared" si="70"/>
        <v>49.679999999999993</v>
      </c>
      <c r="W22" s="1140">
        <f t="shared" si="70"/>
        <v>74.64</v>
      </c>
    </row>
    <row r="23" spans="1:23">
      <c r="A23" s="189">
        <v>39000</v>
      </c>
      <c r="B23" s="1138">
        <f t="shared" ref="B23:E23" si="71">ROUND(B138*$Y$2/12,2)*12</f>
        <v>83.88</v>
      </c>
      <c r="C23" s="1138">
        <f t="shared" si="71"/>
        <v>125.76</v>
      </c>
      <c r="D23" s="1138">
        <f t="shared" si="71"/>
        <v>167.76</v>
      </c>
      <c r="E23" s="1138">
        <f t="shared" si="71"/>
        <v>251.64</v>
      </c>
      <c r="F23" s="1136"/>
      <c r="G23" s="1141">
        <v>39000</v>
      </c>
      <c r="H23" s="1138">
        <f t="shared" ref="H23:K23" si="72">ROUND(H138*$Y$2/12,2)*12</f>
        <v>99.600000000000009</v>
      </c>
      <c r="I23" s="1138">
        <f t="shared" si="72"/>
        <v>149.39999999999998</v>
      </c>
      <c r="J23" s="1138">
        <f t="shared" si="72"/>
        <v>199.20000000000002</v>
      </c>
      <c r="K23" s="1138">
        <f t="shared" si="72"/>
        <v>298.79999999999995</v>
      </c>
      <c r="L23" s="1136"/>
      <c r="M23" s="1144"/>
      <c r="N23" s="1144"/>
      <c r="O23" s="1144"/>
      <c r="P23" s="1144"/>
      <c r="Q23" s="1144"/>
      <c r="R23" s="1144"/>
      <c r="S23" s="1141">
        <v>39000</v>
      </c>
      <c r="T23" s="1140">
        <f t="shared" ref="T23:W23" si="73">ROUND(T138*$Y$2/12,2)*12</f>
        <v>26.160000000000004</v>
      </c>
      <c r="U23" s="1140">
        <f t="shared" si="73"/>
        <v>39.36</v>
      </c>
      <c r="V23" s="1140">
        <f t="shared" si="73"/>
        <v>52.44</v>
      </c>
      <c r="W23" s="1140">
        <f t="shared" si="73"/>
        <v>78.599999999999994</v>
      </c>
    </row>
    <row r="24" spans="1:23">
      <c r="A24" s="189">
        <v>41000</v>
      </c>
      <c r="B24" s="1138">
        <f t="shared" ref="B24:E24" si="74">ROUND(B139*$Y$2/12,2)*12</f>
        <v>88.199999999999989</v>
      </c>
      <c r="C24" s="1138">
        <f t="shared" si="74"/>
        <v>132.24</v>
      </c>
      <c r="D24" s="1138">
        <f t="shared" si="74"/>
        <v>176.28</v>
      </c>
      <c r="E24" s="1138">
        <f t="shared" si="74"/>
        <v>264.48</v>
      </c>
      <c r="F24" s="1136"/>
      <c r="G24" s="1141">
        <v>41000</v>
      </c>
      <c r="H24" s="1138">
        <f t="shared" ref="H24:K24" si="75">ROUND(H139*$Y$2/12,2)*12</f>
        <v>104.64000000000001</v>
      </c>
      <c r="I24" s="1138">
        <f t="shared" si="75"/>
        <v>157.07999999999998</v>
      </c>
      <c r="J24" s="1138">
        <f t="shared" si="75"/>
        <v>209.39999999999998</v>
      </c>
      <c r="K24" s="1138">
        <f t="shared" si="75"/>
        <v>314.04000000000002</v>
      </c>
      <c r="L24" s="1136"/>
      <c r="M24" s="1144"/>
      <c r="N24" s="1144"/>
      <c r="O24" s="1144"/>
      <c r="P24" s="1144"/>
      <c r="Q24" s="1144"/>
      <c r="R24" s="1144"/>
      <c r="S24" s="1141">
        <v>41000</v>
      </c>
      <c r="T24" s="1140">
        <f t="shared" ref="T24:W24" si="76">ROUND(T139*$Y$2/12,2)*12</f>
        <v>27.599999999999998</v>
      </c>
      <c r="U24" s="1140">
        <f t="shared" si="76"/>
        <v>41.400000000000006</v>
      </c>
      <c r="V24" s="1140">
        <f t="shared" si="76"/>
        <v>55.08</v>
      </c>
      <c r="W24" s="1140">
        <f t="shared" si="76"/>
        <v>82.679999999999993</v>
      </c>
    </row>
    <row r="25" spans="1:23">
      <c r="A25" s="189">
        <v>43000</v>
      </c>
      <c r="B25" s="1138">
        <f t="shared" ref="B25:E25" si="77">ROUND(B140*$Y$2/12,2)*12</f>
        <v>92.52</v>
      </c>
      <c r="C25" s="1138">
        <f t="shared" si="77"/>
        <v>138.72</v>
      </c>
      <c r="D25" s="1138">
        <f t="shared" si="77"/>
        <v>184.92000000000002</v>
      </c>
      <c r="E25" s="1138">
        <f t="shared" si="77"/>
        <v>277.44</v>
      </c>
      <c r="F25" s="1136"/>
      <c r="G25" s="1141">
        <v>43000</v>
      </c>
      <c r="H25" s="1138">
        <f t="shared" ref="H25:K25" si="78">ROUND(H140*$Y$2/12,2)*12</f>
        <v>109.80000000000001</v>
      </c>
      <c r="I25" s="1138">
        <f t="shared" si="78"/>
        <v>164.76</v>
      </c>
      <c r="J25" s="1138">
        <f t="shared" si="78"/>
        <v>219.60000000000002</v>
      </c>
      <c r="K25" s="1138">
        <f t="shared" si="78"/>
        <v>329.4</v>
      </c>
      <c r="L25" s="1136"/>
      <c r="M25" s="1145"/>
      <c r="N25" s="1145"/>
      <c r="O25" s="1136"/>
      <c r="P25" s="1136"/>
      <c r="Q25" s="1136"/>
      <c r="R25" s="1144"/>
      <c r="S25" s="1141">
        <v>43000</v>
      </c>
      <c r="T25" s="1140">
        <f t="shared" ref="T25:W25" si="79">ROUND(T140*$Y$2/12,2)*12</f>
        <v>28.92</v>
      </c>
      <c r="U25" s="1140">
        <f t="shared" si="79"/>
        <v>43.44</v>
      </c>
      <c r="V25" s="1140">
        <f t="shared" si="79"/>
        <v>57.84</v>
      </c>
      <c r="W25" s="1140">
        <f t="shared" si="79"/>
        <v>86.64</v>
      </c>
    </row>
    <row r="26" spans="1:23" ht="13.8" thickBot="1">
      <c r="A26" s="189">
        <v>45000</v>
      </c>
      <c r="B26" s="1138">
        <f t="shared" ref="B26:E26" si="80">ROUND(B141*$Y$2/12,2)*12</f>
        <v>96.72</v>
      </c>
      <c r="C26" s="1138">
        <f t="shared" si="80"/>
        <v>145.19999999999999</v>
      </c>
      <c r="D26" s="1138">
        <f t="shared" si="80"/>
        <v>193.56</v>
      </c>
      <c r="E26" s="1138">
        <f t="shared" si="80"/>
        <v>290.28000000000003</v>
      </c>
      <c r="F26" s="1136"/>
      <c r="G26" s="1141">
        <v>45000</v>
      </c>
      <c r="H26" s="1138">
        <f t="shared" ref="H26:K26" si="81">ROUND(H141*$Y$2/12,2)*12</f>
        <v>114.96000000000001</v>
      </c>
      <c r="I26" s="1138">
        <f t="shared" si="81"/>
        <v>172.44</v>
      </c>
      <c r="J26" s="1138">
        <f t="shared" si="81"/>
        <v>229.79999999999998</v>
      </c>
      <c r="K26" s="1138">
        <f t="shared" si="81"/>
        <v>344.76</v>
      </c>
      <c r="L26" s="1136"/>
      <c r="M26" s="1146" t="s">
        <v>21</v>
      </c>
      <c r="N26" s="1147"/>
      <c r="O26" s="1148"/>
      <c r="P26" s="1148"/>
      <c r="Q26" s="1136"/>
      <c r="R26" s="1144"/>
      <c r="S26" s="1141">
        <v>45000</v>
      </c>
      <c r="T26" s="1140">
        <f t="shared" ref="T26:W26" si="82">ROUND(T141*$Y$2/12,2)*12</f>
        <v>30.240000000000002</v>
      </c>
      <c r="U26" s="1140">
        <f t="shared" si="82"/>
        <v>45.480000000000004</v>
      </c>
      <c r="V26" s="1140">
        <f t="shared" si="82"/>
        <v>60.480000000000004</v>
      </c>
      <c r="W26" s="1140">
        <f t="shared" si="82"/>
        <v>90.72</v>
      </c>
    </row>
    <row r="27" spans="1:23" ht="13.8" thickBot="1">
      <c r="A27" s="189">
        <v>47000</v>
      </c>
      <c r="B27" s="1138">
        <f t="shared" ref="B27:E27" si="83">ROUND(B142*$Y$2/12,2)*12</f>
        <v>101.03999999999999</v>
      </c>
      <c r="C27" s="1138">
        <f t="shared" si="83"/>
        <v>151.56</v>
      </c>
      <c r="D27" s="1138">
        <f t="shared" si="83"/>
        <v>202.07999999999998</v>
      </c>
      <c r="E27" s="1138">
        <f t="shared" si="83"/>
        <v>303.24</v>
      </c>
      <c r="F27" s="1136"/>
      <c r="G27" s="1141">
        <v>47000</v>
      </c>
      <c r="H27" s="1138">
        <f t="shared" ref="H27:K27" si="84">ROUND(H142*$Y$2/12,2)*12</f>
        <v>120</v>
      </c>
      <c r="I27" s="1138">
        <f t="shared" si="84"/>
        <v>180.12</v>
      </c>
      <c r="J27" s="1138">
        <f t="shared" si="84"/>
        <v>240</v>
      </c>
      <c r="K27" s="1138">
        <f t="shared" si="84"/>
        <v>360</v>
      </c>
      <c r="L27" s="1136"/>
      <c r="M27" s="1149"/>
      <c r="N27" s="1317" t="s">
        <v>612</v>
      </c>
      <c r="O27" s="1317"/>
      <c r="P27" s="1317"/>
      <c r="Q27" s="1150"/>
      <c r="R27" s="1144"/>
      <c r="S27" s="1141">
        <v>47000</v>
      </c>
      <c r="T27" s="1140">
        <f t="shared" ref="T27:W27" si="85">ROUND(T142*$Y$2/12,2)*12</f>
        <v>31.56</v>
      </c>
      <c r="U27" s="1140">
        <f t="shared" si="85"/>
        <v>47.400000000000006</v>
      </c>
      <c r="V27" s="1140">
        <f t="shared" si="85"/>
        <v>63.12</v>
      </c>
      <c r="W27" s="1140">
        <f t="shared" si="85"/>
        <v>94.800000000000011</v>
      </c>
    </row>
    <row r="28" spans="1:23" ht="13.8" thickBot="1">
      <c r="A28" s="189">
        <v>49000</v>
      </c>
      <c r="B28" s="1138">
        <f t="shared" ref="B28:E28" si="86">ROUND(B143*$Y$2/12,2)*12</f>
        <v>105.35999999999999</v>
      </c>
      <c r="C28" s="1138">
        <f t="shared" si="86"/>
        <v>158.04</v>
      </c>
      <c r="D28" s="1138">
        <f t="shared" si="86"/>
        <v>210.71999999999997</v>
      </c>
      <c r="E28" s="1138">
        <f t="shared" si="86"/>
        <v>316.08</v>
      </c>
      <c r="F28" s="1136"/>
      <c r="G28" s="1141">
        <v>49000</v>
      </c>
      <c r="H28" s="1138">
        <f t="shared" ref="H28:K28" si="87">ROUND(H143*$Y$2/12,2)*12</f>
        <v>125.16</v>
      </c>
      <c r="I28" s="1138">
        <f t="shared" si="87"/>
        <v>187.8</v>
      </c>
      <c r="J28" s="1138">
        <f t="shared" si="87"/>
        <v>250.20000000000002</v>
      </c>
      <c r="K28" s="1138">
        <f t="shared" si="87"/>
        <v>375.36</v>
      </c>
      <c r="L28" s="1136"/>
      <c r="M28" s="1151" t="s">
        <v>74</v>
      </c>
      <c r="N28" s="1152" t="s">
        <v>15</v>
      </c>
      <c r="O28" s="1152" t="s">
        <v>16</v>
      </c>
      <c r="P28" s="1152" t="s">
        <v>17</v>
      </c>
      <c r="Q28" s="1153" t="s">
        <v>18</v>
      </c>
      <c r="R28" s="1144"/>
      <c r="S28" s="1141">
        <v>49000</v>
      </c>
      <c r="T28" s="1140">
        <f t="shared" ref="T28:W28" si="88">ROUND(T143*$Y$2/12,2)*12</f>
        <v>32.880000000000003</v>
      </c>
      <c r="U28" s="1140">
        <f t="shared" si="88"/>
        <v>49.44</v>
      </c>
      <c r="V28" s="1140">
        <f t="shared" si="88"/>
        <v>65.88</v>
      </c>
      <c r="W28" s="1140">
        <f t="shared" si="88"/>
        <v>98.76</v>
      </c>
    </row>
    <row r="29" spans="1:23">
      <c r="A29" s="189">
        <v>51000</v>
      </c>
      <c r="B29" s="1138">
        <f t="shared" ref="B29:E29" si="89">ROUND(B144*$Y$2/12,2)*12</f>
        <v>109.68</v>
      </c>
      <c r="C29" s="1138">
        <f t="shared" si="89"/>
        <v>164.52</v>
      </c>
      <c r="D29" s="1138">
        <f t="shared" si="89"/>
        <v>219.36</v>
      </c>
      <c r="E29" s="1138">
        <f t="shared" si="89"/>
        <v>329.04</v>
      </c>
      <c r="F29" s="1136"/>
      <c r="G29" s="1141">
        <v>51000</v>
      </c>
      <c r="H29" s="1138">
        <f t="shared" ref="H29:K29" si="90">ROUND(H144*$Y$2/12,2)*12</f>
        <v>130.19999999999999</v>
      </c>
      <c r="I29" s="1138">
        <f t="shared" si="90"/>
        <v>195.36</v>
      </c>
      <c r="J29" s="1138">
        <f t="shared" si="90"/>
        <v>260.52</v>
      </c>
      <c r="K29" s="1138">
        <f t="shared" si="90"/>
        <v>390.72</v>
      </c>
      <c r="L29" s="1136"/>
      <c r="M29" s="219">
        <v>0</v>
      </c>
      <c r="N29" s="219">
        <v>0</v>
      </c>
      <c r="O29" s="219">
        <v>0</v>
      </c>
      <c r="P29" s="219">
        <v>0</v>
      </c>
      <c r="Q29" s="219">
        <v>0</v>
      </c>
      <c r="R29" s="1144"/>
      <c r="S29" s="1141">
        <v>51000</v>
      </c>
      <c r="T29" s="1140">
        <f t="shared" ref="T29:W29" si="91">ROUND(T144*$Y$2/12,2)*12</f>
        <v>34.32</v>
      </c>
      <c r="U29" s="1140">
        <f t="shared" si="91"/>
        <v>51.480000000000004</v>
      </c>
      <c r="V29" s="1140">
        <f t="shared" si="91"/>
        <v>68.52</v>
      </c>
      <c r="W29" s="1140">
        <f t="shared" si="91"/>
        <v>102.84</v>
      </c>
    </row>
    <row r="30" spans="1:23">
      <c r="A30" s="189">
        <v>53000</v>
      </c>
      <c r="B30" s="1138">
        <f t="shared" ref="B30:E30" si="92">ROUND(B145*$Y$2/12,2)*12</f>
        <v>114</v>
      </c>
      <c r="C30" s="1138">
        <f t="shared" si="92"/>
        <v>171</v>
      </c>
      <c r="D30" s="1138">
        <f t="shared" si="92"/>
        <v>228</v>
      </c>
      <c r="E30" s="1138">
        <f t="shared" si="92"/>
        <v>341.88</v>
      </c>
      <c r="F30" s="1136"/>
      <c r="G30" s="1141">
        <v>53000</v>
      </c>
      <c r="H30" s="1138">
        <f t="shared" ref="H30:K30" si="93">ROUND(H145*$Y$2/12,2)*12</f>
        <v>135.35999999999999</v>
      </c>
      <c r="I30" s="1138">
        <f t="shared" si="93"/>
        <v>203.04000000000002</v>
      </c>
      <c r="J30" s="1138">
        <f t="shared" si="93"/>
        <v>270.71999999999997</v>
      </c>
      <c r="K30" s="1138">
        <f t="shared" si="93"/>
        <v>406.08000000000004</v>
      </c>
      <c r="L30" s="1136"/>
      <c r="M30" s="1154">
        <v>16000</v>
      </c>
      <c r="N30" s="1155">
        <f>ROUND(N145*$Y$2/12,2)*12</f>
        <v>12.120000000000001</v>
      </c>
      <c r="O30" s="1155">
        <f t="shared" ref="O30:Q30" si="94">ROUND(O145*$Y$2/12,2)*12</f>
        <v>18</v>
      </c>
      <c r="P30" s="1155">
        <f t="shared" si="94"/>
        <v>24</v>
      </c>
      <c r="Q30" s="1155">
        <f t="shared" si="94"/>
        <v>36.119999999999997</v>
      </c>
      <c r="R30" s="1144"/>
      <c r="S30" s="1141">
        <v>53000</v>
      </c>
      <c r="T30" s="1140">
        <f t="shared" ref="T30:W30" si="95">ROUND(T145*$Y$2/12,2)*12</f>
        <v>35.64</v>
      </c>
      <c r="U30" s="1140">
        <f t="shared" si="95"/>
        <v>53.519999999999996</v>
      </c>
      <c r="V30" s="1140">
        <f t="shared" si="95"/>
        <v>71.28</v>
      </c>
      <c r="W30" s="1140">
        <f t="shared" si="95"/>
        <v>106.80000000000001</v>
      </c>
    </row>
    <row r="31" spans="1:23">
      <c r="A31" s="189">
        <v>55000</v>
      </c>
      <c r="B31" s="1138">
        <f t="shared" ref="B31:E31" si="96">ROUND(B146*$Y$2/12,2)*12</f>
        <v>118.32</v>
      </c>
      <c r="C31" s="1138">
        <f t="shared" si="96"/>
        <v>177.35999999999999</v>
      </c>
      <c r="D31" s="1138">
        <f t="shared" si="96"/>
        <v>236.52</v>
      </c>
      <c r="E31" s="1138">
        <f t="shared" si="96"/>
        <v>354.84000000000003</v>
      </c>
      <c r="F31" s="1136"/>
      <c r="G31" s="1141">
        <v>55000</v>
      </c>
      <c r="H31" s="1138">
        <f t="shared" ref="H31:K31" si="97">ROUND(H146*$Y$2/12,2)*12</f>
        <v>140.39999999999998</v>
      </c>
      <c r="I31" s="1138">
        <f t="shared" si="97"/>
        <v>210.71999999999997</v>
      </c>
      <c r="J31" s="1138">
        <f t="shared" si="97"/>
        <v>280.92</v>
      </c>
      <c r="K31" s="1138">
        <f t="shared" si="97"/>
        <v>421.32</v>
      </c>
      <c r="L31" s="1136"/>
      <c r="M31" s="1154">
        <v>17000</v>
      </c>
      <c r="N31" s="1155">
        <f t="shared" ref="N31:Q31" si="98">ROUND(N146*$Y$2/12,2)*12</f>
        <v>12.72</v>
      </c>
      <c r="O31" s="1155">
        <f t="shared" si="98"/>
        <v>19.200000000000003</v>
      </c>
      <c r="P31" s="1155">
        <f t="shared" si="98"/>
        <v>25.56</v>
      </c>
      <c r="Q31" s="1155">
        <f t="shared" si="98"/>
        <v>38.400000000000006</v>
      </c>
      <c r="R31" s="1144"/>
      <c r="S31" s="1141">
        <v>55000</v>
      </c>
      <c r="T31" s="1140">
        <f t="shared" ref="T31:W31" si="99">ROUND(T146*$Y$2/12,2)*12</f>
        <v>36.96</v>
      </c>
      <c r="U31" s="1140">
        <f t="shared" si="99"/>
        <v>55.56</v>
      </c>
      <c r="V31" s="1140">
        <f t="shared" si="99"/>
        <v>73.92</v>
      </c>
      <c r="W31" s="1140">
        <f t="shared" si="99"/>
        <v>110.88</v>
      </c>
    </row>
    <row r="32" spans="1:23">
      <c r="A32" s="189">
        <v>57000</v>
      </c>
      <c r="B32" s="1138">
        <f t="shared" ref="B32:E32" si="100">ROUND(B147*$Y$2/12,2)*12</f>
        <v>122.52000000000001</v>
      </c>
      <c r="C32" s="1138">
        <f t="shared" si="100"/>
        <v>183.84</v>
      </c>
      <c r="D32" s="1138">
        <f t="shared" si="100"/>
        <v>245.16</v>
      </c>
      <c r="E32" s="1138">
        <f t="shared" si="100"/>
        <v>367.68</v>
      </c>
      <c r="F32" s="1136"/>
      <c r="G32" s="1141">
        <v>57000</v>
      </c>
      <c r="H32" s="1138">
        <f t="shared" ref="H32:K32" si="101">ROUND(H147*$Y$2/12,2)*12</f>
        <v>145.56</v>
      </c>
      <c r="I32" s="1138">
        <f t="shared" si="101"/>
        <v>218.39999999999998</v>
      </c>
      <c r="J32" s="1138">
        <f t="shared" si="101"/>
        <v>291.12</v>
      </c>
      <c r="K32" s="1138">
        <f t="shared" si="101"/>
        <v>436.68</v>
      </c>
      <c r="L32" s="1136"/>
      <c r="M32" s="1154">
        <v>18000</v>
      </c>
      <c r="N32" s="1155">
        <f t="shared" ref="N32:Q32" si="102">ROUND(N147*$Y$2/12,2)*12</f>
        <v>13.559999999999999</v>
      </c>
      <c r="O32" s="1155">
        <f t="shared" si="102"/>
        <v>20.28</v>
      </c>
      <c r="P32" s="1155">
        <f t="shared" si="102"/>
        <v>27.119999999999997</v>
      </c>
      <c r="Q32" s="1155">
        <f t="shared" si="102"/>
        <v>40.56</v>
      </c>
      <c r="R32" s="1144"/>
      <c r="S32" s="1141">
        <v>57000</v>
      </c>
      <c r="T32" s="1140">
        <f t="shared" ref="T32:W32" si="103">ROUND(T147*$Y$2/12,2)*12</f>
        <v>38.28</v>
      </c>
      <c r="U32" s="1140">
        <f t="shared" si="103"/>
        <v>57.480000000000004</v>
      </c>
      <c r="V32" s="1140">
        <f t="shared" si="103"/>
        <v>76.56</v>
      </c>
      <c r="W32" s="1140">
        <f t="shared" si="103"/>
        <v>114.96000000000001</v>
      </c>
    </row>
    <row r="33" spans="1:23">
      <c r="A33" s="189">
        <v>59000</v>
      </c>
      <c r="B33" s="1138">
        <f t="shared" ref="B33:E33" si="104">ROUND(B148*$Y$2/12,2)*12</f>
        <v>126.84</v>
      </c>
      <c r="C33" s="1138">
        <f t="shared" si="104"/>
        <v>190.32</v>
      </c>
      <c r="D33" s="1138">
        <f t="shared" si="104"/>
        <v>253.79999999999998</v>
      </c>
      <c r="E33" s="1138">
        <f t="shared" si="104"/>
        <v>380.64</v>
      </c>
      <c r="F33" s="1136"/>
      <c r="G33" s="1141">
        <v>59000</v>
      </c>
      <c r="H33" s="1138">
        <f t="shared" ref="H33:K33" si="105">ROUND(H148*$Y$2/12,2)*12</f>
        <v>150.72</v>
      </c>
      <c r="I33" s="1138">
        <f t="shared" si="105"/>
        <v>226.07999999999998</v>
      </c>
      <c r="J33" s="1138">
        <f t="shared" si="105"/>
        <v>301.32</v>
      </c>
      <c r="K33" s="1138">
        <f t="shared" si="105"/>
        <v>452.04</v>
      </c>
      <c r="L33" s="1136"/>
      <c r="M33" s="1154">
        <v>19000</v>
      </c>
      <c r="N33" s="1155">
        <f t="shared" ref="N33:Q33" si="106">ROUND(N148*$Y$2/12,2)*12</f>
        <v>14.28</v>
      </c>
      <c r="O33" s="1155">
        <f t="shared" si="106"/>
        <v>21.48</v>
      </c>
      <c r="P33" s="1155">
        <f t="shared" si="106"/>
        <v>28.68</v>
      </c>
      <c r="Q33" s="1155">
        <f t="shared" si="106"/>
        <v>42.839999999999996</v>
      </c>
      <c r="R33" s="1144"/>
      <c r="S33" s="1141">
        <v>59000</v>
      </c>
      <c r="T33" s="1140">
        <f t="shared" ref="T33:W33" si="107">ROUND(T148*$Y$2/12,2)*12</f>
        <v>39.599999999999994</v>
      </c>
      <c r="U33" s="1140">
        <f t="shared" si="107"/>
        <v>59.519999999999996</v>
      </c>
      <c r="V33" s="1140">
        <f t="shared" si="107"/>
        <v>79.320000000000007</v>
      </c>
      <c r="W33" s="1140">
        <f t="shared" si="107"/>
        <v>118.92</v>
      </c>
    </row>
    <row r="34" spans="1:23">
      <c r="A34" s="189">
        <v>61000</v>
      </c>
      <c r="B34" s="1138">
        <f t="shared" ref="B34:E34" si="108">ROUND(B149*$Y$2/12,2)*12</f>
        <v>131.16</v>
      </c>
      <c r="C34" s="1138">
        <f t="shared" si="108"/>
        <v>196.79999999999998</v>
      </c>
      <c r="D34" s="1138">
        <f t="shared" si="108"/>
        <v>262.32</v>
      </c>
      <c r="E34" s="1138">
        <f t="shared" si="108"/>
        <v>393.48</v>
      </c>
      <c r="F34" s="1136"/>
      <c r="G34" s="1141">
        <v>61000</v>
      </c>
      <c r="H34" s="1138">
        <f t="shared" ref="H34:K34" si="109">ROUND(H149*$Y$2/12,2)*12</f>
        <v>155.76</v>
      </c>
      <c r="I34" s="1138">
        <f t="shared" si="109"/>
        <v>233.76</v>
      </c>
      <c r="J34" s="1138">
        <f t="shared" si="109"/>
        <v>311.52</v>
      </c>
      <c r="K34" s="1138">
        <f t="shared" si="109"/>
        <v>467.28</v>
      </c>
      <c r="L34" s="1136"/>
      <c r="M34" s="1154">
        <v>20000</v>
      </c>
      <c r="N34" s="1155">
        <f t="shared" ref="N34:Q34" si="110">ROUND(N149*$Y$2/12,2)*12</f>
        <v>15</v>
      </c>
      <c r="O34" s="1155">
        <f t="shared" si="110"/>
        <v>22.56</v>
      </c>
      <c r="P34" s="1155">
        <f t="shared" si="110"/>
        <v>30.119999999999997</v>
      </c>
      <c r="Q34" s="1155">
        <f t="shared" si="110"/>
        <v>45.12</v>
      </c>
      <c r="R34" s="1145"/>
      <c r="S34" s="1141">
        <v>61000</v>
      </c>
      <c r="T34" s="1140">
        <f t="shared" ref="T34:W34" si="111">ROUND(T149*$Y$2/12,2)*12</f>
        <v>41.04</v>
      </c>
      <c r="U34" s="1140">
        <f t="shared" si="111"/>
        <v>61.56</v>
      </c>
      <c r="V34" s="1140">
        <f t="shared" si="111"/>
        <v>81.960000000000008</v>
      </c>
      <c r="W34" s="1140">
        <f t="shared" si="111"/>
        <v>123</v>
      </c>
    </row>
    <row r="35" spans="1:23">
      <c r="A35" s="189">
        <v>63000</v>
      </c>
      <c r="B35" s="1138">
        <f t="shared" ref="B35:E35" si="112">ROUND(B150*$Y$2/12,2)*12</f>
        <v>135.47999999999999</v>
      </c>
      <c r="C35" s="1138">
        <f t="shared" si="112"/>
        <v>203.16</v>
      </c>
      <c r="D35" s="1138">
        <f t="shared" si="112"/>
        <v>270.95999999999998</v>
      </c>
      <c r="E35" s="1138">
        <f t="shared" si="112"/>
        <v>406.43999999999994</v>
      </c>
      <c r="F35" s="1136"/>
      <c r="G35" s="1141">
        <v>63000</v>
      </c>
      <c r="H35" s="1138">
        <f t="shared" ref="H35:K35" si="113">ROUND(H150*$Y$2/12,2)*12</f>
        <v>160.92000000000002</v>
      </c>
      <c r="I35" s="1138">
        <f t="shared" si="113"/>
        <v>241.44</v>
      </c>
      <c r="J35" s="1138">
        <f t="shared" si="113"/>
        <v>321.71999999999997</v>
      </c>
      <c r="K35" s="1138">
        <f t="shared" si="113"/>
        <v>482.64</v>
      </c>
      <c r="L35" s="1136"/>
      <c r="M35" s="1154">
        <v>21000</v>
      </c>
      <c r="N35" s="1155">
        <f t="shared" ref="N35:Q35" si="114">ROUND(N150*$Y$2/12,2)*12</f>
        <v>15.84</v>
      </c>
      <c r="O35" s="1155">
        <f t="shared" si="114"/>
        <v>23.64</v>
      </c>
      <c r="P35" s="1155">
        <f t="shared" si="114"/>
        <v>31.56</v>
      </c>
      <c r="Q35" s="1155">
        <f t="shared" si="114"/>
        <v>47.400000000000006</v>
      </c>
      <c r="R35" s="1145"/>
      <c r="S35" s="1141">
        <v>63000</v>
      </c>
      <c r="T35" s="1140">
        <f t="shared" ref="T35:W35" si="115">ROUND(T150*$Y$2/12,2)*12</f>
        <v>42.36</v>
      </c>
      <c r="U35" s="1140">
        <f t="shared" si="115"/>
        <v>63.599999999999994</v>
      </c>
      <c r="V35" s="1140">
        <f t="shared" si="115"/>
        <v>84.72</v>
      </c>
      <c r="W35" s="1140">
        <f t="shared" si="115"/>
        <v>126.96000000000001</v>
      </c>
    </row>
    <row r="36" spans="1:23">
      <c r="A36" s="189">
        <v>65000</v>
      </c>
      <c r="B36" s="1138">
        <f t="shared" ref="B36:E36" si="116">ROUND(B151*$Y$2/12,2)*12</f>
        <v>139.80000000000001</v>
      </c>
      <c r="C36" s="1138">
        <f t="shared" si="116"/>
        <v>209.64</v>
      </c>
      <c r="D36" s="1138">
        <f t="shared" si="116"/>
        <v>279.60000000000002</v>
      </c>
      <c r="E36" s="1138">
        <f t="shared" si="116"/>
        <v>419.28</v>
      </c>
      <c r="F36" s="1136"/>
      <c r="G36" s="1141">
        <v>65000</v>
      </c>
      <c r="H36" s="1138">
        <f t="shared" ref="H36:K36" si="117">ROUND(H151*$Y$2/12,2)*12</f>
        <v>165.96</v>
      </c>
      <c r="I36" s="1138">
        <f t="shared" si="117"/>
        <v>249</v>
      </c>
      <c r="J36" s="1138">
        <f t="shared" si="117"/>
        <v>331.92</v>
      </c>
      <c r="K36" s="1138">
        <f t="shared" si="117"/>
        <v>498</v>
      </c>
      <c r="L36" s="1136"/>
      <c r="M36" s="1154">
        <v>22000</v>
      </c>
      <c r="N36" s="1155">
        <f t="shared" ref="N36:Q36" si="118">ROUND(N151*$Y$2/12,2)*12</f>
        <v>16.559999999999999</v>
      </c>
      <c r="O36" s="1155">
        <f t="shared" si="118"/>
        <v>24.839999999999996</v>
      </c>
      <c r="P36" s="1155">
        <f t="shared" si="118"/>
        <v>33.119999999999997</v>
      </c>
      <c r="Q36" s="1155">
        <f t="shared" si="118"/>
        <v>49.679999999999993</v>
      </c>
      <c r="R36" s="1145"/>
      <c r="S36" s="1141">
        <v>65000</v>
      </c>
      <c r="T36" s="1140">
        <f t="shared" ref="T36:W36" si="119">ROUND(T151*$Y$2/12,2)*12</f>
        <v>43.68</v>
      </c>
      <c r="U36" s="1140">
        <f t="shared" si="119"/>
        <v>65.64</v>
      </c>
      <c r="V36" s="1140">
        <f t="shared" si="119"/>
        <v>87.36</v>
      </c>
      <c r="W36" s="1140">
        <f t="shared" si="119"/>
        <v>131.04</v>
      </c>
    </row>
    <row r="37" spans="1:23">
      <c r="A37" s="189">
        <v>67000</v>
      </c>
      <c r="B37" s="1138">
        <f t="shared" ref="B37:E37" si="120">ROUND(B152*$Y$2/12,2)*12</f>
        <v>144.12</v>
      </c>
      <c r="C37" s="1138">
        <f t="shared" si="120"/>
        <v>216.12</v>
      </c>
      <c r="D37" s="1138">
        <f t="shared" si="120"/>
        <v>288.12</v>
      </c>
      <c r="E37" s="1138">
        <f t="shared" si="120"/>
        <v>432.24</v>
      </c>
      <c r="F37" s="1136"/>
      <c r="G37" s="1141">
        <v>67000</v>
      </c>
      <c r="H37" s="1138">
        <f t="shared" ref="H37:K37" si="121">ROUND(H152*$Y$2/12,2)*12</f>
        <v>171.12</v>
      </c>
      <c r="I37" s="1138">
        <f t="shared" si="121"/>
        <v>256.68</v>
      </c>
      <c r="J37" s="1138">
        <f t="shared" si="121"/>
        <v>342.24</v>
      </c>
      <c r="K37" s="1138">
        <f t="shared" si="121"/>
        <v>513.24</v>
      </c>
      <c r="L37" s="1136"/>
      <c r="M37" s="1154">
        <v>23000</v>
      </c>
      <c r="N37" s="1155">
        <f t="shared" ref="N37:Q37" si="122">ROUND(N152*$Y$2/12,2)*12</f>
        <v>17.28</v>
      </c>
      <c r="O37" s="1155">
        <f t="shared" si="122"/>
        <v>25.92</v>
      </c>
      <c r="P37" s="1155">
        <f t="shared" si="122"/>
        <v>34.68</v>
      </c>
      <c r="Q37" s="1155">
        <f t="shared" si="122"/>
        <v>51.84</v>
      </c>
      <c r="R37" s="1136"/>
      <c r="S37" s="1141">
        <v>67000</v>
      </c>
      <c r="T37" s="1140">
        <f t="shared" ref="T37:W37" si="123">ROUND(T152*$Y$2/12,2)*12</f>
        <v>45</v>
      </c>
      <c r="U37" s="1140">
        <f t="shared" si="123"/>
        <v>67.56</v>
      </c>
      <c r="V37" s="1140">
        <f t="shared" si="123"/>
        <v>90</v>
      </c>
      <c r="W37" s="1140">
        <f t="shared" si="123"/>
        <v>135.12</v>
      </c>
    </row>
    <row r="38" spans="1:23">
      <c r="A38" s="189">
        <v>69000</v>
      </c>
      <c r="B38" s="1138">
        <f t="shared" ref="B38:E38" si="124">ROUND(B153*$Y$2/12,2)*12</f>
        <v>148.32</v>
      </c>
      <c r="C38" s="1138">
        <f t="shared" si="124"/>
        <v>222.60000000000002</v>
      </c>
      <c r="D38" s="1138">
        <f t="shared" si="124"/>
        <v>296.76</v>
      </c>
      <c r="E38" s="1138">
        <f t="shared" si="124"/>
        <v>445.08000000000004</v>
      </c>
      <c r="F38" s="1136"/>
      <c r="G38" s="1141">
        <v>69000</v>
      </c>
      <c r="H38" s="1138">
        <f t="shared" ref="H38:K38" si="125">ROUND(H153*$Y$2/12,2)*12</f>
        <v>176.16</v>
      </c>
      <c r="I38" s="1138">
        <f t="shared" si="125"/>
        <v>264.36</v>
      </c>
      <c r="J38" s="1138">
        <f t="shared" si="125"/>
        <v>352.44</v>
      </c>
      <c r="K38" s="1138">
        <f t="shared" si="125"/>
        <v>528.59999999999991</v>
      </c>
      <c r="L38" s="1136"/>
      <c r="M38" s="1154">
        <v>24000</v>
      </c>
      <c r="N38" s="1155">
        <f t="shared" ref="N38:Q38" si="126">ROUND(N153*$Y$2/12,2)*12</f>
        <v>18</v>
      </c>
      <c r="O38" s="1155">
        <f t="shared" si="126"/>
        <v>27.119999999999997</v>
      </c>
      <c r="P38" s="1155">
        <f t="shared" si="126"/>
        <v>36.119999999999997</v>
      </c>
      <c r="Q38" s="1155">
        <f t="shared" si="126"/>
        <v>54.12</v>
      </c>
      <c r="R38" s="1136"/>
      <c r="S38" s="1141">
        <v>69000</v>
      </c>
      <c r="T38" s="1140">
        <f t="shared" ref="T38:W38" si="127">ROUND(T153*$Y$2/12,2)*12</f>
        <v>46.32</v>
      </c>
      <c r="U38" s="1140">
        <f t="shared" si="127"/>
        <v>69.599999999999994</v>
      </c>
      <c r="V38" s="1140">
        <f t="shared" si="127"/>
        <v>92.76</v>
      </c>
      <c r="W38" s="1140">
        <f t="shared" si="127"/>
        <v>139.07999999999998</v>
      </c>
    </row>
    <row r="39" spans="1:23">
      <c r="A39" s="189">
        <v>71000</v>
      </c>
      <c r="B39" s="1138">
        <f t="shared" ref="B39:E39" si="128">ROUND(B154*$Y$2/12,2)*12</f>
        <v>152.64000000000001</v>
      </c>
      <c r="C39" s="1138">
        <f t="shared" si="128"/>
        <v>228.95999999999998</v>
      </c>
      <c r="D39" s="1138">
        <f t="shared" si="128"/>
        <v>305.39999999999998</v>
      </c>
      <c r="E39" s="1138">
        <f t="shared" si="128"/>
        <v>458.04</v>
      </c>
      <c r="F39" s="1136"/>
      <c r="G39" s="1141">
        <v>71000</v>
      </c>
      <c r="H39" s="1138">
        <f t="shared" ref="H39:K39" si="129">ROUND(H154*$Y$2/12,2)*12</f>
        <v>181.32</v>
      </c>
      <c r="I39" s="1138">
        <f t="shared" si="129"/>
        <v>272.04000000000002</v>
      </c>
      <c r="J39" s="1138">
        <f t="shared" si="129"/>
        <v>362.64</v>
      </c>
      <c r="K39" s="1138">
        <f t="shared" si="129"/>
        <v>543.96</v>
      </c>
      <c r="L39" s="1136"/>
      <c r="M39" s="1154">
        <v>25000</v>
      </c>
      <c r="N39" s="1155">
        <f t="shared" ref="N39:Q39" si="130">ROUND(N154*$Y$2/12,2)*12</f>
        <v>18.84</v>
      </c>
      <c r="O39" s="1155">
        <f t="shared" si="130"/>
        <v>28.200000000000003</v>
      </c>
      <c r="P39" s="1155">
        <f t="shared" si="130"/>
        <v>37.68</v>
      </c>
      <c r="Q39" s="1155">
        <f t="shared" si="130"/>
        <v>56.400000000000006</v>
      </c>
      <c r="R39" s="1136"/>
      <c r="S39" s="1141">
        <v>71000</v>
      </c>
      <c r="T39" s="1140">
        <f t="shared" ref="T39:W39" si="131">ROUND(T154*$Y$2/12,2)*12</f>
        <v>47.76</v>
      </c>
      <c r="U39" s="1140">
        <f t="shared" si="131"/>
        <v>71.64</v>
      </c>
      <c r="V39" s="1140">
        <f t="shared" si="131"/>
        <v>95.4</v>
      </c>
      <c r="W39" s="1140">
        <f t="shared" si="131"/>
        <v>143.16</v>
      </c>
    </row>
    <row r="40" spans="1:23">
      <c r="A40" s="189">
        <v>73000</v>
      </c>
      <c r="B40" s="1138">
        <f t="shared" ref="B40:E40" si="132">ROUND(B155*$Y$2/12,2)*12</f>
        <v>156.96</v>
      </c>
      <c r="C40" s="1138">
        <f t="shared" si="132"/>
        <v>235.44</v>
      </c>
      <c r="D40" s="1138">
        <f t="shared" si="132"/>
        <v>313.92</v>
      </c>
      <c r="E40" s="1138">
        <f t="shared" si="132"/>
        <v>470.88</v>
      </c>
      <c r="F40" s="1136"/>
      <c r="G40" s="1141">
        <v>73000</v>
      </c>
      <c r="H40" s="1138">
        <f t="shared" ref="H40:K40" si="133">ROUND(H155*$Y$2/12,2)*12</f>
        <v>186.35999999999999</v>
      </c>
      <c r="I40" s="1138">
        <f t="shared" si="133"/>
        <v>279.71999999999997</v>
      </c>
      <c r="J40" s="1138">
        <f t="shared" si="133"/>
        <v>372.84000000000003</v>
      </c>
      <c r="K40" s="1138">
        <f t="shared" si="133"/>
        <v>559.20000000000005</v>
      </c>
      <c r="L40" s="1136"/>
      <c r="M40" s="1154">
        <v>26000</v>
      </c>
      <c r="N40" s="1155">
        <f t="shared" ref="N40:Q40" si="134">ROUND(N155*$Y$2/12,2)*12</f>
        <v>19.68</v>
      </c>
      <c r="O40" s="1155">
        <f t="shared" si="134"/>
        <v>29.28</v>
      </c>
      <c r="P40" s="1155">
        <f t="shared" si="134"/>
        <v>39.119999999999997</v>
      </c>
      <c r="Q40" s="1155">
        <f t="shared" si="134"/>
        <v>58.679999999999993</v>
      </c>
      <c r="R40" s="1136"/>
      <c r="S40" s="1141">
        <v>73000</v>
      </c>
      <c r="T40" s="1140">
        <f t="shared" ref="T40:W40" si="135">ROUND(T155*$Y$2/12,2)*12</f>
        <v>49.08</v>
      </c>
      <c r="U40" s="1140">
        <f t="shared" si="135"/>
        <v>73.679999999999993</v>
      </c>
      <c r="V40" s="1140">
        <f t="shared" si="135"/>
        <v>98.16</v>
      </c>
      <c r="W40" s="1140">
        <f t="shared" si="135"/>
        <v>147.12</v>
      </c>
    </row>
    <row r="41" spans="1:23">
      <c r="A41" s="189">
        <v>75000</v>
      </c>
      <c r="B41" s="1138">
        <f t="shared" ref="B41:E41" si="136">ROUND(B156*$Y$2/12,2)*12</f>
        <v>161.28</v>
      </c>
      <c r="C41" s="1138">
        <f t="shared" si="136"/>
        <v>241.92000000000002</v>
      </c>
      <c r="D41" s="1138">
        <f t="shared" si="136"/>
        <v>322.56</v>
      </c>
      <c r="E41" s="1138">
        <f t="shared" si="136"/>
        <v>483.84000000000003</v>
      </c>
      <c r="F41" s="1136"/>
      <c r="G41" s="1141">
        <v>75000</v>
      </c>
      <c r="H41" s="1138">
        <f t="shared" ref="H41:K41" si="137">ROUND(H156*$Y$2/12,2)*12</f>
        <v>191.52</v>
      </c>
      <c r="I41" s="1138">
        <f t="shared" si="137"/>
        <v>287.39999999999998</v>
      </c>
      <c r="J41" s="1138">
        <f t="shared" si="137"/>
        <v>383.04</v>
      </c>
      <c r="K41" s="1138">
        <f t="shared" si="137"/>
        <v>574.56000000000006</v>
      </c>
      <c r="L41" s="1136"/>
      <c r="M41" s="1154">
        <v>27000</v>
      </c>
      <c r="N41" s="1155">
        <f t="shared" ref="N41:Q41" si="138">ROUND(N156*$Y$2/12,2)*12</f>
        <v>20.28</v>
      </c>
      <c r="O41" s="1155">
        <f t="shared" si="138"/>
        <v>30.48</v>
      </c>
      <c r="P41" s="1155">
        <f t="shared" si="138"/>
        <v>40.56</v>
      </c>
      <c r="Q41" s="1155">
        <f t="shared" si="138"/>
        <v>60.96</v>
      </c>
      <c r="R41" s="1136"/>
      <c r="S41" s="1141">
        <v>75000</v>
      </c>
      <c r="T41" s="1140">
        <f t="shared" ref="T41:W41" si="139">ROUND(T156*$Y$2/12,2)*12</f>
        <v>50.400000000000006</v>
      </c>
      <c r="U41" s="1140">
        <f t="shared" si="139"/>
        <v>75.72</v>
      </c>
      <c r="V41" s="1140">
        <f t="shared" si="139"/>
        <v>100.80000000000001</v>
      </c>
      <c r="W41" s="1140">
        <f t="shared" si="139"/>
        <v>151.19999999999999</v>
      </c>
    </row>
    <row r="42" spans="1:23">
      <c r="A42" s="189">
        <v>77000</v>
      </c>
      <c r="B42" s="1138">
        <f t="shared" ref="B42:E42" si="140">ROUND(B157*$Y$2/12,2)*12</f>
        <v>165.60000000000002</v>
      </c>
      <c r="C42" s="1138">
        <f t="shared" si="140"/>
        <v>248.39999999999998</v>
      </c>
      <c r="D42" s="1138">
        <f t="shared" si="140"/>
        <v>331.20000000000005</v>
      </c>
      <c r="E42" s="1138">
        <f t="shared" si="140"/>
        <v>496.79999999999995</v>
      </c>
      <c r="F42" s="1136"/>
      <c r="G42" s="1141">
        <v>77000</v>
      </c>
      <c r="H42" s="1138">
        <f t="shared" ref="H42:K42" si="141">ROUND(H157*$Y$2/12,2)*12</f>
        <v>196.68</v>
      </c>
      <c r="I42" s="1138">
        <f t="shared" si="141"/>
        <v>294.95999999999998</v>
      </c>
      <c r="J42" s="1138">
        <f t="shared" si="141"/>
        <v>393.24</v>
      </c>
      <c r="K42" s="1138">
        <f t="shared" si="141"/>
        <v>589.91999999999996</v>
      </c>
      <c r="L42" s="1136"/>
      <c r="M42" s="1154">
        <v>28000</v>
      </c>
      <c r="N42" s="1155">
        <f t="shared" ref="N42:Q42" si="142">ROUND(N157*$Y$2/12,2)*12</f>
        <v>21.12</v>
      </c>
      <c r="O42" s="1155">
        <f t="shared" si="142"/>
        <v>31.56</v>
      </c>
      <c r="P42" s="1155">
        <f t="shared" si="142"/>
        <v>42.24</v>
      </c>
      <c r="Q42" s="1155">
        <f t="shared" si="142"/>
        <v>63.12</v>
      </c>
      <c r="R42" s="1136"/>
      <c r="S42" s="1141">
        <v>77000</v>
      </c>
      <c r="T42" s="1140">
        <f t="shared" ref="T42:W42" si="143">ROUND(T157*$Y$2/12,2)*12</f>
        <v>51.72</v>
      </c>
      <c r="U42" s="1140">
        <f t="shared" si="143"/>
        <v>77.64</v>
      </c>
      <c r="V42" s="1140">
        <f t="shared" si="143"/>
        <v>103.44</v>
      </c>
      <c r="W42" s="1140">
        <f t="shared" si="143"/>
        <v>155.28</v>
      </c>
    </row>
    <row r="43" spans="1:23">
      <c r="A43" s="189">
        <v>79000</v>
      </c>
      <c r="B43" s="1138">
        <f t="shared" ref="B43:E43" si="144">ROUND(B158*$Y$2/12,2)*12</f>
        <v>169.92000000000002</v>
      </c>
      <c r="C43" s="1138">
        <f t="shared" si="144"/>
        <v>254.88</v>
      </c>
      <c r="D43" s="1138">
        <f t="shared" si="144"/>
        <v>339.71999999999997</v>
      </c>
      <c r="E43" s="1138">
        <f t="shared" si="144"/>
        <v>509.64</v>
      </c>
      <c r="F43" s="1136"/>
      <c r="G43" s="1141">
        <v>79000</v>
      </c>
      <c r="H43" s="1138">
        <f t="shared" ref="H43:K43" si="145">ROUND(H158*$Y$2/12,2)*12</f>
        <v>201.71999999999997</v>
      </c>
      <c r="I43" s="1138">
        <f t="shared" si="145"/>
        <v>302.64</v>
      </c>
      <c r="J43" s="1138">
        <f t="shared" si="145"/>
        <v>403.43999999999994</v>
      </c>
      <c r="K43" s="1138">
        <f t="shared" si="145"/>
        <v>605.16</v>
      </c>
      <c r="L43" s="1136"/>
      <c r="M43" s="1154">
        <v>29000</v>
      </c>
      <c r="N43" s="1155">
        <f t="shared" ref="N43:Q43" si="146">ROUND(N158*$Y$2/12,2)*12</f>
        <v>21.72</v>
      </c>
      <c r="O43" s="1155">
        <f t="shared" si="146"/>
        <v>32.76</v>
      </c>
      <c r="P43" s="1155">
        <f t="shared" si="146"/>
        <v>43.68</v>
      </c>
      <c r="Q43" s="1155">
        <f t="shared" si="146"/>
        <v>65.400000000000006</v>
      </c>
      <c r="R43" s="1136"/>
      <c r="S43" s="1141">
        <v>79000</v>
      </c>
      <c r="T43" s="1140">
        <f t="shared" ref="T43:W43" si="147">ROUND(T158*$Y$2/12,2)*12</f>
        <v>53.04</v>
      </c>
      <c r="U43" s="1140">
        <f t="shared" si="147"/>
        <v>79.679999999999993</v>
      </c>
      <c r="V43" s="1140">
        <f t="shared" si="147"/>
        <v>106.19999999999999</v>
      </c>
      <c r="W43" s="1140">
        <f t="shared" si="147"/>
        <v>159.24</v>
      </c>
    </row>
    <row r="44" spans="1:23">
      <c r="A44" s="189">
        <v>81000</v>
      </c>
      <c r="B44" s="1138">
        <f t="shared" ref="B44:E44" si="148">ROUND(B159*$Y$2/12,2)*12</f>
        <v>174.24</v>
      </c>
      <c r="C44" s="1138">
        <f t="shared" si="148"/>
        <v>261.24</v>
      </c>
      <c r="D44" s="1138">
        <f t="shared" si="148"/>
        <v>348.36</v>
      </c>
      <c r="E44" s="1138">
        <f t="shared" si="148"/>
        <v>522.59999999999991</v>
      </c>
      <c r="F44" s="1136"/>
      <c r="G44" s="1141">
        <v>81000</v>
      </c>
      <c r="H44" s="1138">
        <f t="shared" ref="H44:K44" si="149">ROUND(H159*$Y$2/12,2)*12</f>
        <v>206.88</v>
      </c>
      <c r="I44" s="1138">
        <f t="shared" si="149"/>
        <v>310.32</v>
      </c>
      <c r="J44" s="1138">
        <f t="shared" si="149"/>
        <v>413.64</v>
      </c>
      <c r="K44" s="1138">
        <f t="shared" si="149"/>
        <v>620.52</v>
      </c>
      <c r="L44" s="1136"/>
      <c r="M44" s="1154">
        <v>30000</v>
      </c>
      <c r="N44" s="1155">
        <f t="shared" ref="N44:Q44" si="150">ROUND(N159*$Y$2/12,2)*12</f>
        <v>22.56</v>
      </c>
      <c r="O44" s="1155">
        <f t="shared" si="150"/>
        <v>33.839999999999996</v>
      </c>
      <c r="P44" s="1155">
        <f t="shared" si="150"/>
        <v>45.12</v>
      </c>
      <c r="Q44" s="1155">
        <f t="shared" si="150"/>
        <v>67.679999999999993</v>
      </c>
      <c r="R44" s="1136"/>
      <c r="S44" s="1141">
        <v>81000</v>
      </c>
      <c r="T44" s="1140">
        <f t="shared" ref="T44:W44" si="151">ROUND(T159*$Y$2/12,2)*12</f>
        <v>54.480000000000004</v>
      </c>
      <c r="U44" s="1140">
        <f t="shared" si="151"/>
        <v>81.72</v>
      </c>
      <c r="V44" s="1140">
        <f t="shared" si="151"/>
        <v>108.84</v>
      </c>
      <c r="W44" s="1140">
        <f t="shared" si="151"/>
        <v>163.32</v>
      </c>
    </row>
    <row r="45" spans="1:23">
      <c r="A45" s="189">
        <v>83000</v>
      </c>
      <c r="B45" s="1138">
        <f t="shared" ref="B45:E45" si="152">ROUND(B160*$Y$2/12,2)*12</f>
        <v>178.44</v>
      </c>
      <c r="C45" s="1138">
        <f t="shared" si="152"/>
        <v>267.71999999999997</v>
      </c>
      <c r="D45" s="1138">
        <f t="shared" si="152"/>
        <v>357</v>
      </c>
      <c r="E45" s="1138">
        <f t="shared" si="152"/>
        <v>535.43999999999994</v>
      </c>
      <c r="F45" s="1136"/>
      <c r="G45" s="1141">
        <v>83000</v>
      </c>
      <c r="H45" s="1138">
        <f t="shared" ref="H45:K45" si="153">ROUND(H160*$Y$2/12,2)*12</f>
        <v>211.92000000000002</v>
      </c>
      <c r="I45" s="1138">
        <f t="shared" si="153"/>
        <v>318</v>
      </c>
      <c r="J45" s="1138">
        <f t="shared" si="153"/>
        <v>423.84000000000003</v>
      </c>
      <c r="K45" s="1138">
        <f t="shared" si="153"/>
        <v>635.88</v>
      </c>
      <c r="L45" s="1136"/>
      <c r="M45" s="1154">
        <v>31000</v>
      </c>
      <c r="N45" s="1155">
        <f t="shared" ref="N45:Q45" si="154">ROUND(N160*$Y$2/12,2)*12</f>
        <v>23.4</v>
      </c>
      <c r="O45" s="1155">
        <f t="shared" si="154"/>
        <v>34.92</v>
      </c>
      <c r="P45" s="1155">
        <f t="shared" si="154"/>
        <v>46.68</v>
      </c>
      <c r="Q45" s="1155">
        <f t="shared" si="154"/>
        <v>70.08</v>
      </c>
      <c r="R45" s="1136"/>
      <c r="S45" s="1141">
        <v>83000</v>
      </c>
      <c r="T45" s="1140">
        <f t="shared" ref="T45:W45" si="155">ROUND(T160*$Y$2/12,2)*12</f>
        <v>55.800000000000004</v>
      </c>
      <c r="U45" s="1140">
        <f t="shared" si="155"/>
        <v>83.76</v>
      </c>
      <c r="V45" s="1140">
        <f t="shared" si="155"/>
        <v>111.60000000000001</v>
      </c>
      <c r="W45" s="1140">
        <f t="shared" si="155"/>
        <v>167.28</v>
      </c>
    </row>
    <row r="46" spans="1:23">
      <c r="A46" s="189">
        <v>85000</v>
      </c>
      <c r="B46" s="1138">
        <f t="shared" ref="B46:E46" si="156">ROUND(B161*$Y$2/12,2)*12</f>
        <v>182.76</v>
      </c>
      <c r="C46" s="1138">
        <f t="shared" si="156"/>
        <v>274.20000000000005</v>
      </c>
      <c r="D46" s="1138">
        <f t="shared" si="156"/>
        <v>365.52</v>
      </c>
      <c r="E46" s="1138">
        <f t="shared" si="156"/>
        <v>548.40000000000009</v>
      </c>
      <c r="F46" s="1136"/>
      <c r="G46" s="1141">
        <v>85000</v>
      </c>
      <c r="H46" s="1138">
        <f t="shared" ref="H46:K46" si="157">ROUND(H161*$Y$2/12,2)*12</f>
        <v>217.07999999999998</v>
      </c>
      <c r="I46" s="1138">
        <f t="shared" si="157"/>
        <v>325.68</v>
      </c>
      <c r="J46" s="1138">
        <f t="shared" si="157"/>
        <v>434.15999999999997</v>
      </c>
      <c r="K46" s="1138">
        <f t="shared" si="157"/>
        <v>651.12</v>
      </c>
      <c r="L46" s="1136"/>
      <c r="M46" s="1154">
        <v>32000</v>
      </c>
      <c r="N46" s="1155">
        <f t="shared" ref="N46:Q46" si="158">ROUND(N161*$Y$2/12,2)*12</f>
        <v>24</v>
      </c>
      <c r="O46" s="1155">
        <f t="shared" si="158"/>
        <v>36.119999999999997</v>
      </c>
      <c r="P46" s="1155">
        <f t="shared" si="158"/>
        <v>48.12</v>
      </c>
      <c r="Q46" s="1155">
        <f t="shared" si="158"/>
        <v>72.36</v>
      </c>
      <c r="R46" s="1136"/>
      <c r="S46" s="1141">
        <v>85000</v>
      </c>
      <c r="T46" s="1140">
        <f t="shared" ref="T46:W46" si="159">ROUND(T161*$Y$2/12,2)*12</f>
        <v>57.12</v>
      </c>
      <c r="U46" s="1140">
        <f t="shared" si="159"/>
        <v>85.800000000000011</v>
      </c>
      <c r="V46" s="1140">
        <f t="shared" si="159"/>
        <v>114.24</v>
      </c>
      <c r="W46" s="1140">
        <f t="shared" si="159"/>
        <v>171.35999999999999</v>
      </c>
    </row>
    <row r="47" spans="1:23">
      <c r="A47" s="189">
        <v>87000</v>
      </c>
      <c r="B47" s="1138">
        <f t="shared" ref="B47:E47" si="160">ROUND(B162*$Y$2/12,2)*12</f>
        <v>187.07999999999998</v>
      </c>
      <c r="C47" s="1138">
        <f t="shared" si="160"/>
        <v>280.68</v>
      </c>
      <c r="D47" s="1138">
        <f t="shared" si="160"/>
        <v>374.15999999999997</v>
      </c>
      <c r="E47" s="1138">
        <f t="shared" si="160"/>
        <v>561.24</v>
      </c>
      <c r="F47" s="1136"/>
      <c r="G47" s="1141">
        <v>87000</v>
      </c>
      <c r="H47" s="1138">
        <f t="shared" ref="H47:K47" si="161">ROUND(H162*$Y$2/12,2)*12</f>
        <v>222.12</v>
      </c>
      <c r="I47" s="1138">
        <f t="shared" si="161"/>
        <v>333.36</v>
      </c>
      <c r="J47" s="1138">
        <f t="shared" si="161"/>
        <v>444.36</v>
      </c>
      <c r="K47" s="1138">
        <f t="shared" si="161"/>
        <v>666.48</v>
      </c>
      <c r="L47" s="1136"/>
      <c r="M47" s="1154">
        <v>33000</v>
      </c>
      <c r="N47" s="1155">
        <f>ROUND(N162*$Y$2/12,2)*12</f>
        <v>24.839999999999996</v>
      </c>
      <c r="O47" s="1155">
        <f t="shared" ref="O47:Q47" si="162">ROUND(O162*$Y$2/12,2)*12</f>
        <v>37.200000000000003</v>
      </c>
      <c r="P47" s="1155">
        <f t="shared" si="162"/>
        <v>49.679999999999993</v>
      </c>
      <c r="Q47" s="1155">
        <f t="shared" si="162"/>
        <v>74.400000000000006</v>
      </c>
      <c r="R47" s="1136"/>
      <c r="S47" s="1141">
        <v>87000</v>
      </c>
      <c r="T47" s="1140">
        <f t="shared" ref="T47:W47" si="163">ROUND(T162*$Y$2/12,2)*12</f>
        <v>58.44</v>
      </c>
      <c r="U47" s="1140">
        <f t="shared" si="163"/>
        <v>87.72</v>
      </c>
      <c r="V47" s="1140">
        <f t="shared" si="163"/>
        <v>116.88</v>
      </c>
      <c r="W47" s="1140">
        <f t="shared" si="163"/>
        <v>175.44</v>
      </c>
    </row>
    <row r="48" spans="1:23" ht="13.8" thickBot="1">
      <c r="A48" s="189">
        <v>89000</v>
      </c>
      <c r="B48" s="1138">
        <f t="shared" ref="B48:E48" si="164">ROUND(B163*$Y$2/12,2)*12</f>
        <v>191.39999999999998</v>
      </c>
      <c r="C48" s="1138">
        <f t="shared" si="164"/>
        <v>287.04000000000002</v>
      </c>
      <c r="D48" s="1138">
        <f t="shared" si="164"/>
        <v>382.79999999999995</v>
      </c>
      <c r="E48" s="1138">
        <f t="shared" si="164"/>
        <v>574.20000000000005</v>
      </c>
      <c r="F48" s="1136"/>
      <c r="G48" s="1141">
        <v>89000</v>
      </c>
      <c r="H48" s="1138">
        <f t="shared" ref="H48:K48" si="165">ROUND(H163*$Y$2/12,2)*12</f>
        <v>227.28000000000003</v>
      </c>
      <c r="I48" s="1138">
        <f t="shared" si="165"/>
        <v>340.92</v>
      </c>
      <c r="J48" s="1138">
        <f t="shared" si="165"/>
        <v>454.56000000000006</v>
      </c>
      <c r="K48" s="1138">
        <f t="shared" si="165"/>
        <v>681.84</v>
      </c>
      <c r="L48" s="1136"/>
      <c r="M48" s="1156">
        <v>34000</v>
      </c>
      <c r="N48" s="1155">
        <f t="shared" ref="N48:Q48" si="166">ROUND(N163*$Y$2/12,2)*12</f>
        <v>25.56</v>
      </c>
      <c r="O48" s="1155">
        <f t="shared" si="166"/>
        <v>38.400000000000006</v>
      </c>
      <c r="P48" s="1155">
        <f t="shared" si="166"/>
        <v>51.239999999999995</v>
      </c>
      <c r="Q48" s="1155">
        <f t="shared" si="166"/>
        <v>76.800000000000011</v>
      </c>
      <c r="R48" s="1136"/>
      <c r="S48" s="1141">
        <v>89000</v>
      </c>
      <c r="T48" s="1140">
        <f t="shared" ref="T48:W48" si="167">ROUND(T163*$Y$2/12,2)*12</f>
        <v>59.760000000000005</v>
      </c>
      <c r="U48" s="1140">
        <f t="shared" si="167"/>
        <v>89.76</v>
      </c>
      <c r="V48" s="1140">
        <f t="shared" si="167"/>
        <v>119.64000000000001</v>
      </c>
      <c r="W48" s="1140">
        <f t="shared" si="167"/>
        <v>179.39999999999998</v>
      </c>
    </row>
    <row r="49" spans="1:26">
      <c r="A49" s="189">
        <v>91000</v>
      </c>
      <c r="B49" s="1138">
        <f t="shared" ref="B49:E49" si="168">ROUND(B164*$Y$2/12,2)*12</f>
        <v>195.71999999999997</v>
      </c>
      <c r="C49" s="1138">
        <f t="shared" si="168"/>
        <v>293.52</v>
      </c>
      <c r="D49" s="1138">
        <f t="shared" si="168"/>
        <v>391.32</v>
      </c>
      <c r="E49" s="1138">
        <f t="shared" si="168"/>
        <v>587.04</v>
      </c>
      <c r="F49" s="1136"/>
      <c r="G49" s="1141">
        <v>91000</v>
      </c>
      <c r="H49" s="1138">
        <f t="shared" ref="H49:K49" si="169">ROUND(H164*$Y$2/12,2)*12</f>
        <v>232.32</v>
      </c>
      <c r="I49" s="1138">
        <f t="shared" si="169"/>
        <v>348.6</v>
      </c>
      <c r="J49" s="1138">
        <f t="shared" si="169"/>
        <v>464.76</v>
      </c>
      <c r="K49" s="1138">
        <f t="shared" si="169"/>
        <v>697.08</v>
      </c>
      <c r="L49" s="1136"/>
      <c r="M49" s="1144"/>
      <c r="N49" s="1144"/>
      <c r="O49" s="1144"/>
      <c r="P49" s="1144"/>
      <c r="Q49" s="1144"/>
      <c r="R49" s="1136"/>
      <c r="S49" s="1141">
        <v>91000</v>
      </c>
      <c r="T49" s="1140">
        <f t="shared" ref="T49:W49" si="170">ROUND(T164*$Y$2/12,2)*12</f>
        <v>61.199999999999996</v>
      </c>
      <c r="U49" s="1140">
        <f t="shared" si="170"/>
        <v>91.800000000000011</v>
      </c>
      <c r="V49" s="1140">
        <f t="shared" si="170"/>
        <v>122.28</v>
      </c>
      <c r="W49" s="1140">
        <f t="shared" si="170"/>
        <v>183.48</v>
      </c>
    </row>
    <row r="50" spans="1:26">
      <c r="A50" s="189">
        <v>93000</v>
      </c>
      <c r="B50" s="1138">
        <f t="shared" ref="B50:E50" si="171">ROUND(B165*$Y$2/12,2)*12</f>
        <v>200.04000000000002</v>
      </c>
      <c r="C50" s="1138">
        <f t="shared" si="171"/>
        <v>300</v>
      </c>
      <c r="D50" s="1138">
        <f t="shared" si="171"/>
        <v>399.96</v>
      </c>
      <c r="E50" s="1138">
        <f t="shared" si="171"/>
        <v>600</v>
      </c>
      <c r="F50" s="1136"/>
      <c r="G50" s="1141">
        <v>93000</v>
      </c>
      <c r="H50" s="1138">
        <f t="shared" ref="H50:K50" si="172">ROUND(H165*$Y$2/12,2)*12</f>
        <v>237.48</v>
      </c>
      <c r="I50" s="1138">
        <f t="shared" si="172"/>
        <v>356.28000000000003</v>
      </c>
      <c r="J50" s="1138">
        <f t="shared" si="172"/>
        <v>474.96</v>
      </c>
      <c r="K50" s="1138">
        <f t="shared" si="172"/>
        <v>712.43999999999994</v>
      </c>
      <c r="L50" s="1136"/>
      <c r="M50" s="1144"/>
      <c r="N50" s="1144"/>
      <c r="O50" s="1144"/>
      <c r="P50" s="1144"/>
      <c r="Q50" s="1144"/>
      <c r="R50" s="1136"/>
      <c r="S50" s="1141">
        <v>93000</v>
      </c>
      <c r="T50" s="1140">
        <f t="shared" ref="T50:W50" si="173">ROUND(T165*$Y$2/12,2)*12</f>
        <v>62.519999999999996</v>
      </c>
      <c r="U50" s="1140">
        <f t="shared" si="173"/>
        <v>93.84</v>
      </c>
      <c r="V50" s="1140">
        <f t="shared" si="173"/>
        <v>125.03999999999999</v>
      </c>
      <c r="W50" s="1140">
        <f t="shared" si="173"/>
        <v>187.44</v>
      </c>
    </row>
    <row r="51" spans="1:26">
      <c r="A51" s="189">
        <v>95000</v>
      </c>
      <c r="B51" s="1138">
        <f t="shared" ref="B51:E51" si="174">ROUND(B166*$Y$2/12,2)*12</f>
        <v>204.24</v>
      </c>
      <c r="C51" s="1138">
        <f t="shared" si="174"/>
        <v>306.48</v>
      </c>
      <c r="D51" s="1138">
        <f t="shared" si="174"/>
        <v>408.59999999999997</v>
      </c>
      <c r="E51" s="1138">
        <f t="shared" si="174"/>
        <v>612.84</v>
      </c>
      <c r="F51" s="1136"/>
      <c r="G51" s="1141">
        <v>95000</v>
      </c>
      <c r="H51" s="1138">
        <f t="shared" ref="H51:K51" si="175">ROUND(H166*$Y$2/12,2)*12</f>
        <v>242.64</v>
      </c>
      <c r="I51" s="1138">
        <f t="shared" si="175"/>
        <v>363.96</v>
      </c>
      <c r="J51" s="1138">
        <f t="shared" si="175"/>
        <v>485.15999999999997</v>
      </c>
      <c r="K51" s="1138">
        <f t="shared" si="175"/>
        <v>727.8</v>
      </c>
      <c r="L51" s="1136"/>
      <c r="M51" s="1144"/>
      <c r="N51" s="1144"/>
      <c r="O51" s="1144"/>
      <c r="P51" s="1144"/>
      <c r="Q51" s="1144"/>
      <c r="R51" s="1136"/>
      <c r="S51" s="1141">
        <v>95000</v>
      </c>
      <c r="T51" s="1140">
        <f t="shared" ref="T51:W51" si="176">ROUND(T166*$Y$2/12,2)*12</f>
        <v>63.84</v>
      </c>
      <c r="U51" s="1140">
        <f t="shared" si="176"/>
        <v>95.88</v>
      </c>
      <c r="V51" s="1140">
        <f t="shared" si="176"/>
        <v>127.68</v>
      </c>
      <c r="W51" s="1140">
        <f t="shared" si="176"/>
        <v>191.52</v>
      </c>
    </row>
    <row r="52" spans="1:26">
      <c r="A52" s="189">
        <v>97000</v>
      </c>
      <c r="B52" s="1138">
        <f t="shared" ref="B52:E52" si="177">ROUND(B167*$Y$2/12,2)*12</f>
        <v>208.56</v>
      </c>
      <c r="C52" s="1138">
        <f t="shared" si="177"/>
        <v>312.84000000000003</v>
      </c>
      <c r="D52" s="1138">
        <f t="shared" si="177"/>
        <v>417.12</v>
      </c>
      <c r="E52" s="1138">
        <f t="shared" si="177"/>
        <v>625.79999999999995</v>
      </c>
      <c r="F52" s="1136"/>
      <c r="G52" s="1141">
        <v>97000</v>
      </c>
      <c r="H52" s="1138">
        <f t="shared" ref="H52:K52" si="178">ROUND(H167*$Y$2/12,2)*12</f>
        <v>247.68</v>
      </c>
      <c r="I52" s="1138">
        <f t="shared" si="178"/>
        <v>371.64</v>
      </c>
      <c r="J52" s="1138">
        <f t="shared" si="178"/>
        <v>495.36</v>
      </c>
      <c r="K52" s="1138">
        <f t="shared" si="178"/>
        <v>743.04</v>
      </c>
      <c r="L52" s="1136"/>
      <c r="M52" s="1144"/>
      <c r="N52" s="1144"/>
      <c r="O52" s="1144"/>
      <c r="P52" s="1144"/>
      <c r="Q52" s="1144"/>
      <c r="R52" s="1136"/>
      <c r="S52" s="1141">
        <v>97000</v>
      </c>
      <c r="T52" s="1140">
        <f t="shared" ref="T52:W52" si="179">ROUND(T167*$Y$2/12,2)*12</f>
        <v>65.16</v>
      </c>
      <c r="U52" s="1140">
        <f t="shared" si="179"/>
        <v>97.800000000000011</v>
      </c>
      <c r="V52" s="1140">
        <f t="shared" si="179"/>
        <v>130.32</v>
      </c>
      <c r="W52" s="1140">
        <f t="shared" si="179"/>
        <v>195.60000000000002</v>
      </c>
    </row>
    <row r="53" spans="1:26">
      <c r="A53" s="189">
        <v>99000</v>
      </c>
      <c r="B53" s="1138">
        <f t="shared" ref="B53:E53" si="180">ROUND(B168*$Y$2/12,2)*12</f>
        <v>212.88</v>
      </c>
      <c r="C53" s="1138">
        <f t="shared" si="180"/>
        <v>319.32</v>
      </c>
      <c r="D53" s="1138">
        <f t="shared" si="180"/>
        <v>425.76</v>
      </c>
      <c r="E53" s="1138">
        <f t="shared" si="180"/>
        <v>638.64</v>
      </c>
      <c r="F53" s="1136"/>
      <c r="G53" s="1141">
        <v>99000</v>
      </c>
      <c r="H53" s="1138">
        <f t="shared" ref="H53:K53" si="181">ROUND(H168*$Y$2/12,2)*12</f>
        <v>252.84</v>
      </c>
      <c r="I53" s="1138">
        <f t="shared" si="181"/>
        <v>379.32</v>
      </c>
      <c r="J53" s="1138">
        <f t="shared" si="181"/>
        <v>505.56000000000006</v>
      </c>
      <c r="K53" s="1138">
        <f t="shared" si="181"/>
        <v>758.40000000000009</v>
      </c>
      <c r="L53" s="1136"/>
      <c r="M53" s="1144"/>
      <c r="N53" s="1144"/>
      <c r="O53" s="1144"/>
      <c r="P53" s="1144"/>
      <c r="Q53" s="1144"/>
      <c r="R53" s="1136"/>
      <c r="S53" s="1141">
        <v>99000</v>
      </c>
      <c r="T53" s="1140">
        <f t="shared" ref="T53:W53" si="182">ROUND(T168*$Y$2/12,2)*12</f>
        <v>66.48</v>
      </c>
      <c r="U53" s="1140">
        <f t="shared" si="182"/>
        <v>99.84</v>
      </c>
      <c r="V53" s="1140">
        <f t="shared" si="182"/>
        <v>133.07999999999998</v>
      </c>
      <c r="W53" s="1140">
        <f t="shared" si="182"/>
        <v>199.56</v>
      </c>
    </row>
    <row r="54" spans="1:26" ht="13.8" thickBot="1">
      <c r="A54" s="190">
        <v>101000</v>
      </c>
      <c r="B54" s="1138">
        <f t="shared" ref="B54:E54" si="183">ROUND(B169*$Y$2/12,2)*12</f>
        <v>217.20000000000002</v>
      </c>
      <c r="C54" s="1138">
        <f t="shared" si="183"/>
        <v>325.79999999999995</v>
      </c>
      <c r="D54" s="1138">
        <f t="shared" si="183"/>
        <v>434.40000000000003</v>
      </c>
      <c r="E54" s="1138">
        <f t="shared" si="183"/>
        <v>651.59999999999991</v>
      </c>
      <c r="F54" s="1136"/>
      <c r="G54" s="1141">
        <v>101000</v>
      </c>
      <c r="H54" s="1138">
        <f t="shared" ref="H54:K54" si="184">ROUND(H169*$Y$2/12,2)*12</f>
        <v>257.88</v>
      </c>
      <c r="I54" s="1138">
        <f t="shared" si="184"/>
        <v>386.88</v>
      </c>
      <c r="J54" s="1138">
        <f t="shared" si="184"/>
        <v>515.88</v>
      </c>
      <c r="K54" s="1138">
        <f t="shared" si="184"/>
        <v>773.76</v>
      </c>
      <c r="L54" s="1136"/>
      <c r="M54" s="1144"/>
      <c r="N54" s="1144"/>
      <c r="O54" s="1144"/>
      <c r="P54" s="1144"/>
      <c r="Q54" s="1144"/>
      <c r="R54" s="1136"/>
      <c r="S54" s="1141">
        <v>101000</v>
      </c>
      <c r="T54" s="1140">
        <f t="shared" ref="T54:W55" si="185">ROUND(T169*$Y$2/12,2)*12</f>
        <v>67.92</v>
      </c>
      <c r="U54" s="1140">
        <f t="shared" si="185"/>
        <v>101.88</v>
      </c>
      <c r="V54" s="1140">
        <f t="shared" si="185"/>
        <v>135.72</v>
      </c>
      <c r="W54" s="1140">
        <f t="shared" si="185"/>
        <v>203.64</v>
      </c>
    </row>
    <row r="55" spans="1:26">
      <c r="B55" s="1136"/>
      <c r="C55" s="1136"/>
      <c r="D55" s="1136"/>
      <c r="E55" s="1136"/>
      <c r="F55" s="1136"/>
      <c r="G55" s="1144"/>
      <c r="H55" s="1145"/>
      <c r="I55" s="1144"/>
      <c r="J55" s="1144"/>
      <c r="K55" s="1136"/>
      <c r="L55" s="1136"/>
      <c r="M55" s="1144"/>
      <c r="N55" s="1144"/>
      <c r="O55" s="1144"/>
      <c r="P55" s="1144"/>
      <c r="Q55" s="1144"/>
      <c r="R55" s="1136"/>
      <c r="S55" s="1141">
        <v>101000</v>
      </c>
      <c r="T55" s="1140">
        <f>ROUND(T170*$Y$2/12,2)*12</f>
        <v>67.92</v>
      </c>
      <c r="U55" s="1140">
        <f t="shared" si="185"/>
        <v>101.88</v>
      </c>
      <c r="V55" s="1140">
        <f t="shared" si="185"/>
        <v>135.72</v>
      </c>
      <c r="W55" s="1140">
        <f t="shared" si="185"/>
        <v>203.64</v>
      </c>
    </row>
    <row r="56" spans="1:26">
      <c r="B56" s="218"/>
      <c r="C56" s="218"/>
      <c r="D56" s="218"/>
      <c r="E56" s="218"/>
      <c r="H56" s="192"/>
      <c r="I56" s="191"/>
      <c r="J56" s="191"/>
      <c r="M56" s="162"/>
      <c r="N56" s="162"/>
      <c r="O56" s="162"/>
      <c r="P56" s="162"/>
      <c r="Q56" s="162"/>
      <c r="R56" s="162"/>
      <c r="X56" s="195"/>
    </row>
    <row r="57" spans="1:26" ht="13.8" thickBot="1">
      <c r="A57" s="218" t="s">
        <v>5</v>
      </c>
      <c r="B57" s="196"/>
      <c r="C57" s="197"/>
      <c r="D57" s="197"/>
      <c r="E57" s="197"/>
      <c r="G57" s="193" t="s">
        <v>77</v>
      </c>
      <c r="H57" s="192"/>
      <c r="I57" s="191"/>
      <c r="J57" s="191"/>
      <c r="M57" s="194" t="s">
        <v>4</v>
      </c>
      <c r="N57" s="162"/>
      <c r="O57" s="162"/>
      <c r="P57" s="162"/>
      <c r="Q57" s="162"/>
      <c r="R57" s="162"/>
      <c r="S57" s="194" t="s">
        <v>610</v>
      </c>
      <c r="T57" s="198"/>
      <c r="U57" s="198"/>
      <c r="V57" s="198"/>
      <c r="W57" s="198"/>
    </row>
    <row r="58" spans="1:26" s="198" customFormat="1">
      <c r="A58" s="199"/>
      <c r="B58" s="1320" t="s">
        <v>612</v>
      </c>
      <c r="C58" s="1321"/>
      <c r="D58" s="1321"/>
      <c r="E58" s="1322"/>
      <c r="G58" s="199"/>
      <c r="H58" s="1320" t="s">
        <v>612</v>
      </c>
      <c r="I58" s="1321"/>
      <c r="J58" s="1321"/>
      <c r="K58" s="1322"/>
      <c r="M58" s="199"/>
      <c r="N58" s="200" t="s">
        <v>612</v>
      </c>
      <c r="O58" s="201"/>
      <c r="P58" s="201"/>
      <c r="Q58" s="202"/>
      <c r="S58" s="208"/>
      <c r="T58" s="1314" t="s">
        <v>612</v>
      </c>
      <c r="U58" s="1315"/>
      <c r="V58" s="1315"/>
      <c r="W58" s="1316"/>
    </row>
    <row r="59" spans="1:26" ht="13.8" thickBot="1">
      <c r="A59" s="182" t="s">
        <v>74</v>
      </c>
      <c r="B59" s="203" t="s">
        <v>15</v>
      </c>
      <c r="C59" s="204" t="s">
        <v>16</v>
      </c>
      <c r="D59" s="204" t="s">
        <v>17</v>
      </c>
      <c r="E59" s="205" t="s">
        <v>18</v>
      </c>
      <c r="G59" s="182" t="s">
        <v>74</v>
      </c>
      <c r="H59" s="203" t="s">
        <v>15</v>
      </c>
      <c r="I59" s="204" t="s">
        <v>16</v>
      </c>
      <c r="J59" s="204" t="s">
        <v>17</v>
      </c>
      <c r="K59" s="205" t="s">
        <v>18</v>
      </c>
      <c r="M59" s="182" t="s">
        <v>74</v>
      </c>
      <c r="N59" s="203" t="s">
        <v>15</v>
      </c>
      <c r="O59" s="204" t="s">
        <v>16</v>
      </c>
      <c r="P59" s="204" t="s">
        <v>17</v>
      </c>
      <c r="Q59" s="205" t="s">
        <v>18</v>
      </c>
      <c r="S59" s="210" t="s">
        <v>74</v>
      </c>
      <c r="T59" s="203" t="s">
        <v>15</v>
      </c>
      <c r="U59" s="204" t="s">
        <v>16</v>
      </c>
      <c r="V59" s="204" t="s">
        <v>17</v>
      </c>
      <c r="W59" s="205" t="s">
        <v>18</v>
      </c>
    </row>
    <row r="60" spans="1:26" ht="13.8" thickBot="1">
      <c r="A60" s="187">
        <v>0</v>
      </c>
      <c r="B60" s="219">
        <v>0</v>
      </c>
      <c r="C60" s="219">
        <v>0</v>
      </c>
      <c r="D60" s="219">
        <v>0</v>
      </c>
      <c r="E60" s="219">
        <v>0</v>
      </c>
      <c r="F60" s="160"/>
      <c r="G60" s="187">
        <v>0</v>
      </c>
      <c r="H60" s="219">
        <v>0</v>
      </c>
      <c r="I60" s="219">
        <v>0</v>
      </c>
      <c r="J60" s="219">
        <v>0</v>
      </c>
      <c r="K60" s="219">
        <v>0</v>
      </c>
      <c r="M60" s="187">
        <v>0</v>
      </c>
      <c r="N60" s="219">
        <v>0</v>
      </c>
      <c r="O60" s="219">
        <v>0</v>
      </c>
      <c r="P60" s="219">
        <v>0</v>
      </c>
      <c r="Q60" s="219">
        <v>0</v>
      </c>
      <c r="S60" s="187">
        <v>0</v>
      </c>
      <c r="T60" s="219">
        <v>0</v>
      </c>
      <c r="U60" s="219">
        <v>0</v>
      </c>
      <c r="V60" s="219">
        <v>0</v>
      </c>
      <c r="W60" s="219">
        <v>0</v>
      </c>
    </row>
    <row r="61" spans="1:26" ht="13.8" thickBot="1">
      <c r="A61" s="154">
        <v>3</v>
      </c>
      <c r="B61" s="206">
        <f t="shared" ref="B61:E61" si="186">ROUND(B176*$Y$2/12,2)*12</f>
        <v>4.08</v>
      </c>
      <c r="C61" s="206">
        <f t="shared" si="186"/>
        <v>6</v>
      </c>
      <c r="D61" s="206">
        <f t="shared" si="186"/>
        <v>8.0400000000000009</v>
      </c>
      <c r="E61" s="206">
        <f t="shared" si="186"/>
        <v>12.120000000000001</v>
      </c>
      <c r="F61" s="160"/>
      <c r="G61" s="154">
        <v>3</v>
      </c>
      <c r="H61" s="54">
        <f t="shared" ref="H61:K61" si="187">ROUND(H176*$Y$2/12,2)*12</f>
        <v>16.080000000000002</v>
      </c>
      <c r="I61" s="54">
        <f t="shared" si="187"/>
        <v>24.240000000000002</v>
      </c>
      <c r="J61" s="54">
        <f t="shared" si="187"/>
        <v>32.28</v>
      </c>
      <c r="K61" s="54">
        <f t="shared" si="187"/>
        <v>48.36</v>
      </c>
      <c r="M61" s="154">
        <v>500</v>
      </c>
      <c r="N61" s="206">
        <f t="shared" ref="N61:Q61" si="188">ROUND(N176*$Y$2/12,2)*12</f>
        <v>9.36</v>
      </c>
      <c r="O61" s="206">
        <f t="shared" si="188"/>
        <v>14.16</v>
      </c>
      <c r="P61" s="206">
        <f t="shared" si="188"/>
        <v>18.84</v>
      </c>
      <c r="Q61" s="206">
        <f t="shared" si="188"/>
        <v>28.200000000000003</v>
      </c>
      <c r="S61" s="156">
        <v>160</v>
      </c>
      <c r="T61" s="211">
        <f t="shared" ref="T61:W61" si="189">ROUND(T176*$Y$2/12,2)*12</f>
        <v>6.48</v>
      </c>
      <c r="U61" s="211">
        <f t="shared" si="189"/>
        <v>9.7200000000000006</v>
      </c>
      <c r="V61" s="211">
        <f t="shared" si="189"/>
        <v>12.96</v>
      </c>
      <c r="W61" s="211">
        <f t="shared" si="189"/>
        <v>19.32</v>
      </c>
      <c r="X61" s="160"/>
      <c r="Y61" s="160"/>
      <c r="Z61" s="160"/>
    </row>
    <row r="62" spans="1:26" ht="13.8" thickBot="1">
      <c r="A62" s="154">
        <v>4</v>
      </c>
      <c r="B62" s="206">
        <f t="shared" ref="B62:E62" si="190">ROUND(B177*$Y$2/12,2)*12</f>
        <v>5.4</v>
      </c>
      <c r="C62" s="206">
        <f t="shared" si="190"/>
        <v>8.0400000000000009</v>
      </c>
      <c r="D62" s="206">
        <f t="shared" si="190"/>
        <v>10.8</v>
      </c>
      <c r="E62" s="206">
        <f t="shared" si="190"/>
        <v>16.080000000000002</v>
      </c>
      <c r="F62" s="160"/>
      <c r="G62" s="154">
        <v>4</v>
      </c>
      <c r="H62" s="54">
        <f t="shared" ref="H62:K62" si="191">ROUND(H177*$Y$2/12,2)*12</f>
        <v>21.48</v>
      </c>
      <c r="I62" s="54">
        <f t="shared" si="191"/>
        <v>32.28</v>
      </c>
      <c r="J62" s="54">
        <f t="shared" si="191"/>
        <v>42.96</v>
      </c>
      <c r="K62" s="54">
        <f t="shared" si="191"/>
        <v>64.56</v>
      </c>
      <c r="M62" s="154">
        <v>600</v>
      </c>
      <c r="N62" s="206">
        <f t="shared" ref="N62:Q62" si="192">ROUND(N177*$Y$2/12,2)*12</f>
        <v>11.28</v>
      </c>
      <c r="O62" s="206">
        <f t="shared" si="192"/>
        <v>16.919999999999998</v>
      </c>
      <c r="P62" s="206">
        <f t="shared" si="192"/>
        <v>22.56</v>
      </c>
      <c r="Q62" s="206">
        <f t="shared" si="192"/>
        <v>33.839999999999996</v>
      </c>
      <c r="S62" s="157">
        <v>170</v>
      </c>
      <c r="T62" s="211">
        <f t="shared" ref="T62:W62" si="193">ROUND(T177*$Y$2/12,2)*12</f>
        <v>6.84</v>
      </c>
      <c r="U62" s="211">
        <f t="shared" si="193"/>
        <v>10.32</v>
      </c>
      <c r="V62" s="211">
        <f t="shared" si="193"/>
        <v>13.68</v>
      </c>
      <c r="W62" s="211">
        <f t="shared" si="193"/>
        <v>20.52</v>
      </c>
    </row>
    <row r="63" spans="1:26" ht="13.8" thickBot="1">
      <c r="A63" s="154">
        <v>5</v>
      </c>
      <c r="B63" s="206">
        <f t="shared" ref="B63:E63" si="194">ROUND(B178*$Y$2/12,2)*12</f>
        <v>6.7200000000000006</v>
      </c>
      <c r="C63" s="206">
        <f t="shared" si="194"/>
        <v>10.08</v>
      </c>
      <c r="D63" s="206">
        <f t="shared" si="194"/>
        <v>13.440000000000001</v>
      </c>
      <c r="E63" s="206">
        <f t="shared" si="194"/>
        <v>20.16</v>
      </c>
      <c r="F63" s="160"/>
      <c r="G63" s="154">
        <v>5</v>
      </c>
      <c r="H63" s="54">
        <f t="shared" ref="H63:K63" si="195">ROUND(H178*$Y$2/12,2)*12</f>
        <v>26.880000000000003</v>
      </c>
      <c r="I63" s="54">
        <f t="shared" si="195"/>
        <v>40.32</v>
      </c>
      <c r="J63" s="54">
        <f t="shared" si="195"/>
        <v>53.760000000000005</v>
      </c>
      <c r="K63" s="54">
        <f t="shared" si="195"/>
        <v>80.64</v>
      </c>
      <c r="M63" s="154">
        <v>700</v>
      </c>
      <c r="N63" s="206">
        <f t="shared" ref="N63:Q63" si="196">ROUND(N178*$Y$2/12,2)*12</f>
        <v>13.200000000000001</v>
      </c>
      <c r="O63" s="206">
        <f t="shared" si="196"/>
        <v>19.799999999999997</v>
      </c>
      <c r="P63" s="206">
        <f t="shared" si="196"/>
        <v>26.400000000000002</v>
      </c>
      <c r="Q63" s="206">
        <f t="shared" si="196"/>
        <v>39.480000000000004</v>
      </c>
      <c r="S63" s="157">
        <v>180</v>
      </c>
      <c r="T63" s="211">
        <f t="shared" ref="T63:W63" si="197">ROUND(T178*$Y$2/12,2)*12</f>
        <v>7.1999999999999993</v>
      </c>
      <c r="U63" s="211">
        <f t="shared" si="197"/>
        <v>10.92</v>
      </c>
      <c r="V63" s="211">
        <f t="shared" si="197"/>
        <v>14.52</v>
      </c>
      <c r="W63" s="211">
        <f t="shared" si="197"/>
        <v>21.72</v>
      </c>
    </row>
    <row r="64" spans="1:26" ht="13.8" thickBot="1">
      <c r="A64" s="154">
        <v>6</v>
      </c>
      <c r="B64" s="206">
        <f t="shared" ref="B64:E64" si="198">ROUND(B179*$Y$2/12,2)*12</f>
        <v>8.0400000000000009</v>
      </c>
      <c r="C64" s="206">
        <f t="shared" si="198"/>
        <v>12.120000000000001</v>
      </c>
      <c r="D64" s="206">
        <f t="shared" si="198"/>
        <v>16.080000000000002</v>
      </c>
      <c r="E64" s="206">
        <f t="shared" si="198"/>
        <v>24.240000000000002</v>
      </c>
      <c r="F64" s="160"/>
      <c r="G64" s="154">
        <v>6</v>
      </c>
      <c r="H64" s="54">
        <f t="shared" ref="H64:K64" si="199">ROUND(H179*$Y$2/12,2)*12</f>
        <v>32.28</v>
      </c>
      <c r="I64" s="54">
        <f t="shared" si="199"/>
        <v>48.36</v>
      </c>
      <c r="J64" s="54">
        <f t="shared" si="199"/>
        <v>64.56</v>
      </c>
      <c r="K64" s="54">
        <f t="shared" si="199"/>
        <v>96.72</v>
      </c>
      <c r="M64" s="154">
        <v>800</v>
      </c>
      <c r="N64" s="206">
        <f t="shared" ref="N64:Q64" si="200">ROUND(N179*$Y$2/12,2)*12</f>
        <v>15</v>
      </c>
      <c r="O64" s="206">
        <f t="shared" si="200"/>
        <v>22.56</v>
      </c>
      <c r="P64" s="206">
        <f t="shared" si="200"/>
        <v>30.119999999999997</v>
      </c>
      <c r="Q64" s="206">
        <f t="shared" si="200"/>
        <v>45.12</v>
      </c>
      <c r="S64" s="157">
        <v>190</v>
      </c>
      <c r="T64" s="211">
        <f t="shared" ref="T64:W64" si="201">ROUND(T179*$Y$2/12,2)*12</f>
        <v>7.68</v>
      </c>
      <c r="U64" s="211">
        <f t="shared" si="201"/>
        <v>11.52</v>
      </c>
      <c r="V64" s="211">
        <f t="shared" si="201"/>
        <v>15.36</v>
      </c>
      <c r="W64" s="211">
        <f t="shared" si="201"/>
        <v>23.04</v>
      </c>
    </row>
    <row r="65" spans="1:23" ht="13.8" thickBot="1">
      <c r="A65" s="154">
        <v>7</v>
      </c>
      <c r="B65" s="206">
        <f t="shared" ref="B65:E65" si="202">ROUND(B180*$Y$2/12,2)*12</f>
        <v>9.36</v>
      </c>
      <c r="C65" s="206">
        <f t="shared" si="202"/>
        <v>14.16</v>
      </c>
      <c r="D65" s="206">
        <f t="shared" si="202"/>
        <v>18.84</v>
      </c>
      <c r="E65" s="206">
        <f t="shared" si="202"/>
        <v>28.200000000000003</v>
      </c>
      <c r="F65" s="160"/>
      <c r="G65" s="154">
        <v>7</v>
      </c>
      <c r="H65" s="54">
        <f t="shared" ref="H65:K65" si="203">ROUND(H180*$Y$2/12,2)*12</f>
        <v>37.68</v>
      </c>
      <c r="I65" s="54">
        <f t="shared" si="203"/>
        <v>56.400000000000006</v>
      </c>
      <c r="J65" s="54">
        <f t="shared" si="203"/>
        <v>75.239999999999995</v>
      </c>
      <c r="K65" s="54">
        <f t="shared" si="203"/>
        <v>112.92</v>
      </c>
      <c r="M65" s="154">
        <v>900</v>
      </c>
      <c r="N65" s="206">
        <f t="shared" ref="N65:Q65" si="204">ROUND(N180*$Y$2/12,2)*12</f>
        <v>16.919999999999998</v>
      </c>
      <c r="O65" s="206">
        <f t="shared" si="204"/>
        <v>25.44</v>
      </c>
      <c r="P65" s="206">
        <f t="shared" si="204"/>
        <v>33.839999999999996</v>
      </c>
      <c r="Q65" s="206">
        <f t="shared" si="204"/>
        <v>50.760000000000005</v>
      </c>
      <c r="S65" s="157">
        <v>200</v>
      </c>
      <c r="T65" s="211">
        <f t="shared" ref="T65:W65" si="205">ROUND(T180*$Y$2/12,2)*12</f>
        <v>8.0400000000000009</v>
      </c>
      <c r="U65" s="211">
        <f t="shared" si="205"/>
        <v>12.120000000000001</v>
      </c>
      <c r="V65" s="211">
        <f t="shared" si="205"/>
        <v>16.080000000000002</v>
      </c>
      <c r="W65" s="211">
        <f t="shared" si="205"/>
        <v>24.240000000000002</v>
      </c>
    </row>
    <row r="66" spans="1:23" ht="13.8" thickBot="1">
      <c r="A66" s="154">
        <v>8</v>
      </c>
      <c r="B66" s="206">
        <f t="shared" ref="B66:E66" si="206">ROUND(B181*$Y$2/12,2)*12</f>
        <v>10.8</v>
      </c>
      <c r="C66" s="206">
        <f t="shared" si="206"/>
        <v>16.080000000000002</v>
      </c>
      <c r="D66" s="206">
        <f t="shared" si="206"/>
        <v>21.48</v>
      </c>
      <c r="E66" s="206">
        <f t="shared" si="206"/>
        <v>32.28</v>
      </c>
      <c r="F66" s="160"/>
      <c r="G66" s="154">
        <v>8</v>
      </c>
      <c r="H66" s="54">
        <f t="shared" ref="H66:K66" si="207">ROUND(H181*$Y$2/12,2)*12</f>
        <v>42.96</v>
      </c>
      <c r="I66" s="54">
        <f t="shared" si="207"/>
        <v>64.56</v>
      </c>
      <c r="J66" s="54">
        <f t="shared" si="207"/>
        <v>86.039999999999992</v>
      </c>
      <c r="K66" s="54">
        <f t="shared" si="207"/>
        <v>129</v>
      </c>
      <c r="M66" s="154">
        <v>1000</v>
      </c>
      <c r="N66" s="206">
        <f t="shared" ref="N66:Q66" si="208">ROUND(N181*$Y$2/12,2)*12</f>
        <v>18.84</v>
      </c>
      <c r="O66" s="206">
        <f t="shared" si="208"/>
        <v>28.200000000000003</v>
      </c>
      <c r="P66" s="206">
        <f t="shared" si="208"/>
        <v>37.68</v>
      </c>
      <c r="Q66" s="206">
        <f t="shared" si="208"/>
        <v>56.400000000000006</v>
      </c>
      <c r="S66" s="157">
        <v>210</v>
      </c>
      <c r="T66" s="211">
        <f t="shared" ref="T66:W66" si="209">ROUND(T181*$Y$2/12,2)*12</f>
        <v>8.52</v>
      </c>
      <c r="U66" s="211">
        <f t="shared" si="209"/>
        <v>12.72</v>
      </c>
      <c r="V66" s="211">
        <f t="shared" si="209"/>
        <v>16.919999999999998</v>
      </c>
      <c r="W66" s="211">
        <f t="shared" si="209"/>
        <v>25.44</v>
      </c>
    </row>
    <row r="67" spans="1:23" ht="13.8" thickBot="1">
      <c r="A67" s="154">
        <v>9</v>
      </c>
      <c r="B67" s="206">
        <f t="shared" ref="B67:E67" si="210">ROUND(B182*$Y$2/12,2)*12</f>
        <v>12.120000000000001</v>
      </c>
      <c r="C67" s="206">
        <f t="shared" si="210"/>
        <v>18.12</v>
      </c>
      <c r="D67" s="206">
        <f t="shared" si="210"/>
        <v>24.240000000000002</v>
      </c>
      <c r="E67" s="206">
        <f t="shared" si="210"/>
        <v>36.24</v>
      </c>
      <c r="F67" s="160"/>
      <c r="G67" s="154">
        <v>9</v>
      </c>
      <c r="H67" s="54">
        <f t="shared" ref="H67:K67" si="211">ROUND(H182*$Y$2/12,2)*12</f>
        <v>48.36</v>
      </c>
      <c r="I67" s="54">
        <f t="shared" si="211"/>
        <v>72.599999999999994</v>
      </c>
      <c r="J67" s="54">
        <f t="shared" si="211"/>
        <v>96.72</v>
      </c>
      <c r="K67" s="54">
        <f t="shared" si="211"/>
        <v>145.19999999999999</v>
      </c>
      <c r="M67" s="154">
        <v>1100</v>
      </c>
      <c r="N67" s="206">
        <f t="shared" ref="N67:Q67" si="212">ROUND(N182*$Y$2/12,2)*12</f>
        <v>20.64</v>
      </c>
      <c r="O67" s="206">
        <f t="shared" si="212"/>
        <v>31.08</v>
      </c>
      <c r="P67" s="206">
        <f t="shared" si="212"/>
        <v>41.400000000000006</v>
      </c>
      <c r="Q67" s="206">
        <f t="shared" si="212"/>
        <v>62.04</v>
      </c>
      <c r="S67" s="157">
        <v>220</v>
      </c>
      <c r="T67" s="211">
        <f t="shared" ref="T67:W67" si="213">ROUND(T182*$Y$2/12,2)*12</f>
        <v>8.879999999999999</v>
      </c>
      <c r="U67" s="211">
        <f t="shared" si="213"/>
        <v>13.32</v>
      </c>
      <c r="V67" s="211">
        <f t="shared" si="213"/>
        <v>17.759999999999998</v>
      </c>
      <c r="W67" s="211">
        <f t="shared" si="213"/>
        <v>26.64</v>
      </c>
    </row>
    <row r="68" spans="1:23" ht="13.8" thickBot="1">
      <c r="A68" s="154">
        <v>10</v>
      </c>
      <c r="B68" s="206">
        <f t="shared" ref="B68:E68" si="214">ROUND(B183*$Y$2/12,2)*12</f>
        <v>13.440000000000001</v>
      </c>
      <c r="C68" s="206">
        <f t="shared" si="214"/>
        <v>20.16</v>
      </c>
      <c r="D68" s="206">
        <f t="shared" si="214"/>
        <v>26.880000000000003</v>
      </c>
      <c r="E68" s="206">
        <f t="shared" si="214"/>
        <v>40.32</v>
      </c>
      <c r="F68" s="160"/>
      <c r="G68" s="154">
        <v>10</v>
      </c>
      <c r="H68" s="54">
        <f t="shared" ref="H68:K68" si="215">ROUND(H183*$Y$2/12,2)*12</f>
        <v>53.760000000000005</v>
      </c>
      <c r="I68" s="54">
        <f t="shared" si="215"/>
        <v>80.64</v>
      </c>
      <c r="J68" s="54">
        <f t="shared" si="215"/>
        <v>107.52000000000001</v>
      </c>
      <c r="K68" s="54">
        <f t="shared" si="215"/>
        <v>161.28</v>
      </c>
      <c r="M68" s="154">
        <v>1200</v>
      </c>
      <c r="N68" s="206">
        <f t="shared" ref="N68:Q68" si="216">ROUND(N183*$Y$2/12,2)*12</f>
        <v>22.56</v>
      </c>
      <c r="O68" s="206">
        <f t="shared" si="216"/>
        <v>33.839999999999996</v>
      </c>
      <c r="P68" s="206">
        <f t="shared" si="216"/>
        <v>45.12</v>
      </c>
      <c r="Q68" s="206">
        <f t="shared" si="216"/>
        <v>67.679999999999993</v>
      </c>
      <c r="S68" s="157">
        <v>230</v>
      </c>
      <c r="T68" s="211">
        <f t="shared" ref="T68:W68" si="217">ROUND(T183*$Y$2/12,2)*12</f>
        <v>9.24</v>
      </c>
      <c r="U68" s="211">
        <f t="shared" si="217"/>
        <v>13.919999999999998</v>
      </c>
      <c r="V68" s="211">
        <f t="shared" si="217"/>
        <v>18.600000000000001</v>
      </c>
      <c r="W68" s="211">
        <f t="shared" si="217"/>
        <v>27.839999999999996</v>
      </c>
    </row>
    <row r="69" spans="1:23" ht="13.8" thickBot="1">
      <c r="A69" s="154">
        <v>11</v>
      </c>
      <c r="B69" s="206">
        <f t="shared" ref="B69:E69" si="218">ROUND(B184*$Y$2/12,2)*12</f>
        <v>14.76</v>
      </c>
      <c r="C69" s="206">
        <f t="shared" si="218"/>
        <v>22.200000000000003</v>
      </c>
      <c r="D69" s="206">
        <f t="shared" si="218"/>
        <v>29.52</v>
      </c>
      <c r="E69" s="206">
        <f t="shared" si="218"/>
        <v>44.400000000000006</v>
      </c>
      <c r="F69" s="160"/>
      <c r="G69" s="154">
        <v>11</v>
      </c>
      <c r="H69" s="54">
        <f t="shared" ref="H69:K69" si="219">ROUND(H184*$Y$2/12,2)*12</f>
        <v>59.16</v>
      </c>
      <c r="I69" s="54">
        <f t="shared" si="219"/>
        <v>88.679999999999993</v>
      </c>
      <c r="J69" s="54">
        <f t="shared" si="219"/>
        <v>118.32</v>
      </c>
      <c r="K69" s="54">
        <f t="shared" si="219"/>
        <v>177.35999999999999</v>
      </c>
      <c r="M69" s="154">
        <v>1300</v>
      </c>
      <c r="N69" s="206">
        <f t="shared" ref="N69:Q69" si="220">ROUND(N184*$Y$2/12,2)*12</f>
        <v>24.48</v>
      </c>
      <c r="O69" s="206">
        <f t="shared" si="220"/>
        <v>36.72</v>
      </c>
      <c r="P69" s="206">
        <f t="shared" si="220"/>
        <v>48.96</v>
      </c>
      <c r="Q69" s="206">
        <f t="shared" si="220"/>
        <v>73.44</v>
      </c>
      <c r="S69" s="157">
        <v>240</v>
      </c>
      <c r="T69" s="211">
        <f t="shared" ref="T69:W69" si="221">ROUND(T184*$Y$2/12,2)*12</f>
        <v>9.7200000000000006</v>
      </c>
      <c r="U69" s="211">
        <f t="shared" si="221"/>
        <v>14.52</v>
      </c>
      <c r="V69" s="211">
        <f t="shared" si="221"/>
        <v>19.32</v>
      </c>
      <c r="W69" s="211">
        <f t="shared" si="221"/>
        <v>29.04</v>
      </c>
    </row>
    <row r="70" spans="1:23" ht="13.8" thickBot="1">
      <c r="A70" s="154">
        <v>12</v>
      </c>
      <c r="B70" s="206">
        <f t="shared" ref="B70:E70" si="222">ROUND(B185*$Y$2/12,2)*12</f>
        <v>16.080000000000002</v>
      </c>
      <c r="C70" s="206">
        <f t="shared" si="222"/>
        <v>24.240000000000002</v>
      </c>
      <c r="D70" s="206">
        <f t="shared" si="222"/>
        <v>32.28</v>
      </c>
      <c r="E70" s="206">
        <f t="shared" si="222"/>
        <v>48.36</v>
      </c>
      <c r="F70" s="160"/>
      <c r="G70" s="154">
        <v>12</v>
      </c>
      <c r="H70" s="54">
        <f t="shared" ref="H70:K70" si="223">ROUND(H185*$Y$2/12,2)*12</f>
        <v>64.56</v>
      </c>
      <c r="I70" s="54">
        <f t="shared" si="223"/>
        <v>96.72</v>
      </c>
      <c r="J70" s="54">
        <f t="shared" si="223"/>
        <v>129</v>
      </c>
      <c r="K70" s="54">
        <f t="shared" si="223"/>
        <v>193.56</v>
      </c>
      <c r="M70" s="154">
        <v>1400</v>
      </c>
      <c r="N70" s="206">
        <f t="shared" ref="N70:Q70" si="224">ROUND(N185*$Y$2/12,2)*12</f>
        <v>26.400000000000002</v>
      </c>
      <c r="O70" s="206">
        <f t="shared" si="224"/>
        <v>39.480000000000004</v>
      </c>
      <c r="P70" s="206">
        <f t="shared" si="224"/>
        <v>52.679999999999993</v>
      </c>
      <c r="Q70" s="206">
        <f t="shared" si="224"/>
        <v>79.08</v>
      </c>
      <c r="S70" s="157">
        <v>250</v>
      </c>
      <c r="T70" s="211">
        <f t="shared" ref="T70:W70" si="225">ROUND(T185*$Y$2/12,2)*12</f>
        <v>10.08</v>
      </c>
      <c r="U70" s="211">
        <f t="shared" si="225"/>
        <v>15.24</v>
      </c>
      <c r="V70" s="211">
        <f t="shared" si="225"/>
        <v>20.16</v>
      </c>
      <c r="W70" s="211">
        <f t="shared" si="225"/>
        <v>30.240000000000002</v>
      </c>
    </row>
    <row r="71" spans="1:23" ht="13.8" thickBot="1">
      <c r="A71" s="154">
        <v>13</v>
      </c>
      <c r="B71" s="206">
        <f t="shared" ref="B71:E71" si="226">ROUND(B186*$Y$2/12,2)*12</f>
        <v>17.52</v>
      </c>
      <c r="C71" s="206">
        <f t="shared" si="226"/>
        <v>26.160000000000004</v>
      </c>
      <c r="D71" s="206">
        <f t="shared" si="226"/>
        <v>34.92</v>
      </c>
      <c r="E71" s="206">
        <f t="shared" si="226"/>
        <v>52.44</v>
      </c>
      <c r="F71" s="160"/>
      <c r="G71" s="154">
        <v>13</v>
      </c>
      <c r="H71" s="54">
        <f t="shared" ref="H71:K71" si="227">ROUND(H186*$Y$2/12,2)*12</f>
        <v>69.84</v>
      </c>
      <c r="I71" s="54">
        <f t="shared" si="227"/>
        <v>104.88</v>
      </c>
      <c r="J71" s="54">
        <f t="shared" si="227"/>
        <v>139.80000000000001</v>
      </c>
      <c r="K71" s="54">
        <f t="shared" si="227"/>
        <v>209.64</v>
      </c>
      <c r="M71" s="154">
        <v>1500</v>
      </c>
      <c r="N71" s="206">
        <f t="shared" ref="N71:Q71" si="228">ROUND(N186*$Y$2/12,2)*12</f>
        <v>28.200000000000003</v>
      </c>
      <c r="O71" s="206">
        <f t="shared" si="228"/>
        <v>42.36</v>
      </c>
      <c r="P71" s="206">
        <f t="shared" si="228"/>
        <v>56.400000000000006</v>
      </c>
      <c r="Q71" s="206">
        <f t="shared" si="228"/>
        <v>84.72</v>
      </c>
      <c r="S71" s="157">
        <v>260</v>
      </c>
      <c r="T71" s="211">
        <f t="shared" ref="T71:W71" si="229">ROUND(T186*$Y$2/12,2)*12</f>
        <v>10.44</v>
      </c>
      <c r="U71" s="211">
        <f t="shared" si="229"/>
        <v>15.72</v>
      </c>
      <c r="V71" s="211">
        <f t="shared" si="229"/>
        <v>21</v>
      </c>
      <c r="W71" s="211">
        <f t="shared" si="229"/>
        <v>31.44</v>
      </c>
    </row>
    <row r="72" spans="1:23" ht="13.8" thickBot="1">
      <c r="A72" s="154">
        <v>14</v>
      </c>
      <c r="B72" s="206">
        <f t="shared" ref="B72:E72" si="230">ROUND(B187*$Y$2/12,2)*12</f>
        <v>18.84</v>
      </c>
      <c r="C72" s="206">
        <f t="shared" si="230"/>
        <v>28.200000000000003</v>
      </c>
      <c r="D72" s="206">
        <f t="shared" si="230"/>
        <v>37.68</v>
      </c>
      <c r="E72" s="206">
        <f t="shared" si="230"/>
        <v>56.400000000000006</v>
      </c>
      <c r="F72" s="160"/>
      <c r="G72" s="154">
        <v>14</v>
      </c>
      <c r="H72" s="54">
        <f t="shared" ref="H72:K72" si="231">ROUND(H187*$Y$2/12,2)*12</f>
        <v>75.239999999999995</v>
      </c>
      <c r="I72" s="54">
        <f t="shared" si="231"/>
        <v>112.92</v>
      </c>
      <c r="J72" s="54">
        <f t="shared" si="231"/>
        <v>150.47999999999999</v>
      </c>
      <c r="K72" s="54">
        <f t="shared" si="231"/>
        <v>225.84</v>
      </c>
      <c r="M72" s="154">
        <v>1600</v>
      </c>
      <c r="N72" s="206">
        <f t="shared" ref="N72:Q72" si="232">ROUND(N187*$Y$2/12,2)*12</f>
        <v>30.119999999999997</v>
      </c>
      <c r="O72" s="206">
        <f t="shared" si="232"/>
        <v>45.12</v>
      </c>
      <c r="P72" s="206">
        <f t="shared" si="232"/>
        <v>60.239999999999995</v>
      </c>
      <c r="Q72" s="206">
        <f t="shared" si="232"/>
        <v>90.36</v>
      </c>
      <c r="S72" s="157">
        <v>270</v>
      </c>
      <c r="T72" s="211">
        <f t="shared" ref="T72:W72" si="233">ROUND(T187*$Y$2/12,2)*12</f>
        <v>10.92</v>
      </c>
      <c r="U72" s="211">
        <f t="shared" si="233"/>
        <v>16.440000000000001</v>
      </c>
      <c r="V72" s="211">
        <f t="shared" si="233"/>
        <v>21.72</v>
      </c>
      <c r="W72" s="211">
        <f t="shared" si="233"/>
        <v>32.64</v>
      </c>
    </row>
    <row r="73" spans="1:23" ht="13.8" thickBot="1">
      <c r="A73" s="154">
        <v>15</v>
      </c>
      <c r="B73" s="206">
        <f t="shared" ref="B73:E73" si="234">ROUND(B188*$Y$2/12,2)*12</f>
        <v>20.16</v>
      </c>
      <c r="C73" s="206">
        <f t="shared" si="234"/>
        <v>30.240000000000002</v>
      </c>
      <c r="D73" s="206">
        <f t="shared" si="234"/>
        <v>40.32</v>
      </c>
      <c r="E73" s="206">
        <f t="shared" si="234"/>
        <v>60.480000000000004</v>
      </c>
      <c r="F73" s="160"/>
      <c r="G73" s="154">
        <v>15</v>
      </c>
      <c r="H73" s="54">
        <f t="shared" ref="H73:K73" si="235">ROUND(H188*$Y$2/12,2)*12</f>
        <v>80.64</v>
      </c>
      <c r="I73" s="54">
        <f t="shared" si="235"/>
        <v>120.96000000000001</v>
      </c>
      <c r="J73" s="54">
        <f t="shared" si="235"/>
        <v>161.28</v>
      </c>
      <c r="K73" s="54">
        <f t="shared" si="235"/>
        <v>241.92000000000002</v>
      </c>
      <c r="M73" s="154">
        <v>1700</v>
      </c>
      <c r="N73" s="206">
        <f t="shared" ref="N73:Q73" si="236">ROUND(N188*$Y$2/12,2)*12</f>
        <v>32.04</v>
      </c>
      <c r="O73" s="206">
        <f t="shared" si="236"/>
        <v>48</v>
      </c>
      <c r="P73" s="206">
        <f t="shared" si="236"/>
        <v>63.96</v>
      </c>
      <c r="Q73" s="206">
        <f t="shared" si="236"/>
        <v>96</v>
      </c>
      <c r="S73" s="157">
        <v>280</v>
      </c>
      <c r="T73" s="211">
        <f t="shared" ref="T73:W73" si="237">ROUND(T188*$Y$2/12,2)*12</f>
        <v>11.28</v>
      </c>
      <c r="U73" s="211">
        <f t="shared" si="237"/>
        <v>16.919999999999998</v>
      </c>
      <c r="V73" s="211">
        <f t="shared" si="237"/>
        <v>22.56</v>
      </c>
      <c r="W73" s="211">
        <f t="shared" si="237"/>
        <v>33.839999999999996</v>
      </c>
    </row>
    <row r="74" spans="1:23" ht="13.8" thickBot="1">
      <c r="A74" s="154">
        <v>16</v>
      </c>
      <c r="B74" s="206">
        <f t="shared" ref="B74:E74" si="238">ROUND(B189*$Y$2/12,2)*12</f>
        <v>21.48</v>
      </c>
      <c r="C74" s="206">
        <f t="shared" si="238"/>
        <v>32.28</v>
      </c>
      <c r="D74" s="206">
        <f t="shared" si="238"/>
        <v>42.96</v>
      </c>
      <c r="E74" s="206">
        <f t="shared" si="238"/>
        <v>64.56</v>
      </c>
      <c r="F74" s="160"/>
      <c r="G74" s="154">
        <v>16</v>
      </c>
      <c r="H74" s="54">
        <f t="shared" ref="H74:K74" si="239">ROUND(H189*$Y$2/12,2)*12</f>
        <v>86.039999999999992</v>
      </c>
      <c r="I74" s="54">
        <f t="shared" si="239"/>
        <v>129</v>
      </c>
      <c r="J74" s="54">
        <f t="shared" si="239"/>
        <v>172.07999999999998</v>
      </c>
      <c r="K74" s="54">
        <f t="shared" si="239"/>
        <v>258</v>
      </c>
      <c r="M74" s="154">
        <v>1800</v>
      </c>
      <c r="N74" s="206">
        <f t="shared" ref="N74:Q74" si="240">ROUND(N189*$Y$2/12,2)*12</f>
        <v>33.839999999999996</v>
      </c>
      <c r="O74" s="206">
        <f t="shared" si="240"/>
        <v>50.760000000000005</v>
      </c>
      <c r="P74" s="206">
        <f t="shared" si="240"/>
        <v>67.679999999999993</v>
      </c>
      <c r="Q74" s="206">
        <f t="shared" si="240"/>
        <v>101.64000000000001</v>
      </c>
      <c r="S74" s="157">
        <v>290</v>
      </c>
      <c r="T74" s="211">
        <f t="shared" ref="T74:W74" si="241">ROUND(T189*$Y$2/12,2)*12</f>
        <v>11.64</v>
      </c>
      <c r="U74" s="211">
        <f t="shared" si="241"/>
        <v>17.64</v>
      </c>
      <c r="V74" s="211">
        <f t="shared" si="241"/>
        <v>23.4</v>
      </c>
      <c r="W74" s="211">
        <f t="shared" si="241"/>
        <v>35.04</v>
      </c>
    </row>
    <row r="75" spans="1:23" ht="13.8" thickBot="1">
      <c r="A75" s="154">
        <v>17</v>
      </c>
      <c r="B75" s="206">
        <f t="shared" ref="B75:E75" si="242">ROUND(B190*$Y$2/12,2)*12</f>
        <v>22.799999999999997</v>
      </c>
      <c r="C75" s="206">
        <f t="shared" si="242"/>
        <v>34.32</v>
      </c>
      <c r="D75" s="206">
        <f t="shared" si="242"/>
        <v>45.72</v>
      </c>
      <c r="E75" s="206">
        <f t="shared" si="242"/>
        <v>68.52</v>
      </c>
      <c r="F75" s="160"/>
      <c r="G75" s="154">
        <v>17</v>
      </c>
      <c r="H75" s="54">
        <f t="shared" ref="H75:K75" si="243">ROUND(H190*$Y$2/12,2)*12</f>
        <v>91.44</v>
      </c>
      <c r="I75" s="54">
        <f t="shared" si="243"/>
        <v>137.04</v>
      </c>
      <c r="J75" s="54">
        <f t="shared" si="243"/>
        <v>182.76</v>
      </c>
      <c r="K75" s="54">
        <f t="shared" si="243"/>
        <v>274.20000000000005</v>
      </c>
      <c r="M75" s="154">
        <v>1900</v>
      </c>
      <c r="N75" s="206">
        <f t="shared" ref="N75:Q75" si="244">ROUND(N190*$Y$2/12,2)*12</f>
        <v>35.76</v>
      </c>
      <c r="O75" s="206">
        <f t="shared" si="244"/>
        <v>53.64</v>
      </c>
      <c r="P75" s="206">
        <f t="shared" si="244"/>
        <v>71.52</v>
      </c>
      <c r="Q75" s="206">
        <f t="shared" si="244"/>
        <v>107.28</v>
      </c>
      <c r="S75" s="157">
        <v>300</v>
      </c>
      <c r="T75" s="211">
        <f t="shared" ref="T75:W75" si="245">ROUND(T190*$Y$2/12,2)*12</f>
        <v>12.120000000000001</v>
      </c>
      <c r="U75" s="211">
        <f t="shared" si="245"/>
        <v>18.12</v>
      </c>
      <c r="V75" s="211">
        <f t="shared" si="245"/>
        <v>24.240000000000002</v>
      </c>
      <c r="W75" s="211">
        <f t="shared" si="245"/>
        <v>36.24</v>
      </c>
    </row>
    <row r="76" spans="1:23" ht="13.8" thickBot="1">
      <c r="A76" s="154">
        <v>18</v>
      </c>
      <c r="B76" s="206">
        <f t="shared" ref="B76:E76" si="246">ROUND(B191*$Y$2/12,2)*12</f>
        <v>24.240000000000002</v>
      </c>
      <c r="C76" s="206">
        <f t="shared" si="246"/>
        <v>36.24</v>
      </c>
      <c r="D76" s="206">
        <f t="shared" si="246"/>
        <v>48.36</v>
      </c>
      <c r="E76" s="206">
        <f t="shared" si="246"/>
        <v>72.599999999999994</v>
      </c>
      <c r="F76" s="160"/>
      <c r="G76" s="154">
        <v>18</v>
      </c>
      <c r="H76" s="54">
        <f t="shared" ref="H76:K76" si="247">ROUND(H191*$Y$2/12,2)*12</f>
        <v>96.72</v>
      </c>
      <c r="I76" s="54">
        <f t="shared" si="247"/>
        <v>145.19999999999999</v>
      </c>
      <c r="J76" s="54">
        <f t="shared" si="247"/>
        <v>193.56</v>
      </c>
      <c r="K76" s="54">
        <f t="shared" si="247"/>
        <v>290.28000000000003</v>
      </c>
      <c r="M76" s="154">
        <v>2000</v>
      </c>
      <c r="N76" s="206">
        <f t="shared" ref="N76:Q76" si="248">ROUND(N191*$Y$2/12,2)*12</f>
        <v>37.68</v>
      </c>
      <c r="O76" s="206">
        <f t="shared" si="248"/>
        <v>56.400000000000006</v>
      </c>
      <c r="P76" s="206">
        <f t="shared" si="248"/>
        <v>75.239999999999995</v>
      </c>
      <c r="Q76" s="206">
        <f t="shared" si="248"/>
        <v>112.92</v>
      </c>
      <c r="S76" s="157">
        <v>310</v>
      </c>
      <c r="T76" s="211">
        <f t="shared" ref="T76:W76" si="249">ROUND(T191*$Y$2/12,2)*12</f>
        <v>12.48</v>
      </c>
      <c r="U76" s="211">
        <f t="shared" si="249"/>
        <v>18.84</v>
      </c>
      <c r="V76" s="211">
        <f t="shared" si="249"/>
        <v>24.96</v>
      </c>
      <c r="W76" s="211">
        <f t="shared" si="249"/>
        <v>37.44</v>
      </c>
    </row>
    <row r="77" spans="1:23" ht="13.8" thickBot="1">
      <c r="A77" s="154">
        <v>19</v>
      </c>
      <c r="B77" s="206">
        <f t="shared" ref="B77:E77" si="250">ROUND(B192*$Y$2/12,2)*12</f>
        <v>25.56</v>
      </c>
      <c r="C77" s="206">
        <f t="shared" si="250"/>
        <v>38.28</v>
      </c>
      <c r="D77" s="206">
        <f t="shared" si="250"/>
        <v>51.12</v>
      </c>
      <c r="E77" s="206">
        <f t="shared" si="250"/>
        <v>76.56</v>
      </c>
      <c r="F77" s="160"/>
      <c r="G77" s="154">
        <v>19</v>
      </c>
      <c r="H77" s="54">
        <f t="shared" ref="H77:K77" si="251">ROUND(H192*$Y$2/12,2)*12</f>
        <v>102.12</v>
      </c>
      <c r="I77" s="54">
        <f t="shared" si="251"/>
        <v>153.24</v>
      </c>
      <c r="J77" s="54">
        <f t="shared" si="251"/>
        <v>204.24</v>
      </c>
      <c r="K77" s="54">
        <f t="shared" si="251"/>
        <v>306.48</v>
      </c>
      <c r="M77" s="154">
        <v>2100</v>
      </c>
      <c r="N77" s="206">
        <f t="shared" ref="N77:Q77" si="252">ROUND(N192*$Y$2/12,2)*12</f>
        <v>39.480000000000004</v>
      </c>
      <c r="O77" s="206">
        <f t="shared" si="252"/>
        <v>59.28</v>
      </c>
      <c r="P77" s="206">
        <f t="shared" si="252"/>
        <v>79.08</v>
      </c>
      <c r="Q77" s="206">
        <f t="shared" si="252"/>
        <v>118.56</v>
      </c>
      <c r="S77" s="157">
        <v>320</v>
      </c>
      <c r="T77" s="211">
        <f t="shared" ref="T77:W77" si="253">ROUND(T192*$Y$2/12,2)*12</f>
        <v>12.96</v>
      </c>
      <c r="U77" s="211">
        <f t="shared" si="253"/>
        <v>19.32</v>
      </c>
      <c r="V77" s="211">
        <f t="shared" si="253"/>
        <v>25.799999999999997</v>
      </c>
      <c r="W77" s="211">
        <f t="shared" si="253"/>
        <v>38.76</v>
      </c>
    </row>
    <row r="78" spans="1:23" ht="13.8" thickBot="1">
      <c r="A78" s="154">
        <v>20</v>
      </c>
      <c r="B78" s="206">
        <f t="shared" ref="B78:E78" si="254">ROUND(B193*$Y$2/12,2)*12</f>
        <v>26.880000000000003</v>
      </c>
      <c r="C78" s="206">
        <f t="shared" si="254"/>
        <v>40.32</v>
      </c>
      <c r="D78" s="206">
        <f t="shared" si="254"/>
        <v>53.760000000000005</v>
      </c>
      <c r="E78" s="206">
        <f t="shared" si="254"/>
        <v>80.64</v>
      </c>
      <c r="F78" s="160"/>
      <c r="G78" s="154">
        <v>20</v>
      </c>
      <c r="H78" s="54">
        <f t="shared" ref="H78:K78" si="255">ROUND(H193*$Y$2/12,2)*12</f>
        <v>107.52000000000001</v>
      </c>
      <c r="I78" s="54">
        <f t="shared" si="255"/>
        <v>161.28</v>
      </c>
      <c r="J78" s="54">
        <f t="shared" si="255"/>
        <v>215.04000000000002</v>
      </c>
      <c r="K78" s="54">
        <f t="shared" si="255"/>
        <v>322.56</v>
      </c>
      <c r="M78" s="154">
        <v>2200</v>
      </c>
      <c r="N78" s="206">
        <f t="shared" ref="N78:Q78" si="256">ROUND(N193*$Y$2/12,2)*12</f>
        <v>41.400000000000006</v>
      </c>
      <c r="O78" s="206">
        <f t="shared" si="256"/>
        <v>62.04</v>
      </c>
      <c r="P78" s="206">
        <f t="shared" si="256"/>
        <v>82.800000000000011</v>
      </c>
      <c r="Q78" s="206">
        <f t="shared" si="256"/>
        <v>124.19999999999999</v>
      </c>
      <c r="S78" s="157">
        <v>330</v>
      </c>
      <c r="T78" s="211">
        <f t="shared" ref="T78:W78" si="257">ROUND(T193*$Y$2/12,2)*12</f>
        <v>13.32</v>
      </c>
      <c r="U78" s="211">
        <f t="shared" si="257"/>
        <v>20.04</v>
      </c>
      <c r="V78" s="211">
        <f t="shared" si="257"/>
        <v>26.64</v>
      </c>
      <c r="W78" s="211">
        <f t="shared" si="257"/>
        <v>39.96</v>
      </c>
    </row>
    <row r="79" spans="1:23" ht="13.8" thickBot="1">
      <c r="A79" s="154">
        <v>21</v>
      </c>
      <c r="B79" s="206">
        <f t="shared" ref="B79:E79" si="258">ROUND(B194*$Y$2/12,2)*12</f>
        <v>28.200000000000003</v>
      </c>
      <c r="C79" s="206">
        <f t="shared" si="258"/>
        <v>42.36</v>
      </c>
      <c r="D79" s="206">
        <f t="shared" si="258"/>
        <v>56.400000000000006</v>
      </c>
      <c r="E79" s="206">
        <f t="shared" si="258"/>
        <v>84.72</v>
      </c>
      <c r="F79" s="160"/>
      <c r="G79" s="154">
        <v>21</v>
      </c>
      <c r="H79" s="54">
        <f t="shared" ref="H79:K79" si="259">ROUND(H194*$Y$2/12,2)*12</f>
        <v>112.92</v>
      </c>
      <c r="I79" s="54">
        <f t="shared" si="259"/>
        <v>169.32</v>
      </c>
      <c r="J79" s="54">
        <f t="shared" si="259"/>
        <v>225.84</v>
      </c>
      <c r="K79" s="54">
        <f t="shared" si="259"/>
        <v>338.64</v>
      </c>
      <c r="M79" s="154">
        <v>2300</v>
      </c>
      <c r="N79" s="206">
        <f t="shared" ref="N79:Q79" si="260">ROUND(N194*$Y$2/12,2)*12</f>
        <v>43.32</v>
      </c>
      <c r="O79" s="206">
        <f t="shared" si="260"/>
        <v>64.92</v>
      </c>
      <c r="P79" s="206">
        <f t="shared" si="260"/>
        <v>86.52</v>
      </c>
      <c r="Q79" s="206">
        <f t="shared" si="260"/>
        <v>129.84</v>
      </c>
      <c r="S79" s="157">
        <v>340</v>
      </c>
      <c r="T79" s="211">
        <f t="shared" ref="T79:W79" si="261">ROUND(T194*$Y$2/12,2)*12</f>
        <v>13.68</v>
      </c>
      <c r="U79" s="211">
        <f t="shared" si="261"/>
        <v>20.52</v>
      </c>
      <c r="V79" s="211">
        <f t="shared" si="261"/>
        <v>27.36</v>
      </c>
      <c r="W79" s="211">
        <f t="shared" si="261"/>
        <v>41.160000000000004</v>
      </c>
    </row>
    <row r="80" spans="1:23" ht="13.8" thickBot="1">
      <c r="A80" s="154">
        <v>22</v>
      </c>
      <c r="B80" s="206">
        <f t="shared" ref="B80:E80" si="262">ROUND(B195*$Y$2/12,2)*12</f>
        <v>29.52</v>
      </c>
      <c r="C80" s="206">
        <f t="shared" si="262"/>
        <v>44.400000000000006</v>
      </c>
      <c r="D80" s="206">
        <f t="shared" si="262"/>
        <v>59.16</v>
      </c>
      <c r="E80" s="206">
        <f t="shared" si="262"/>
        <v>88.679999999999993</v>
      </c>
      <c r="F80" s="160"/>
      <c r="G80" s="154">
        <v>22</v>
      </c>
      <c r="H80" s="54">
        <f t="shared" ref="H80:K80" si="263">ROUND(H195*$Y$2/12,2)*12</f>
        <v>118.32</v>
      </c>
      <c r="I80" s="54">
        <f t="shared" si="263"/>
        <v>177.35999999999999</v>
      </c>
      <c r="J80" s="54">
        <f t="shared" si="263"/>
        <v>236.52</v>
      </c>
      <c r="K80" s="54">
        <f t="shared" si="263"/>
        <v>354.84000000000003</v>
      </c>
      <c r="M80" s="154">
        <v>2400</v>
      </c>
      <c r="N80" s="206">
        <f t="shared" ref="N80:Q80" si="264">ROUND(N195*$Y$2/12,2)*12</f>
        <v>45.12</v>
      </c>
      <c r="O80" s="206">
        <f t="shared" si="264"/>
        <v>67.679999999999993</v>
      </c>
      <c r="P80" s="206">
        <f t="shared" si="264"/>
        <v>90.36</v>
      </c>
      <c r="Q80" s="206">
        <f t="shared" si="264"/>
        <v>135.47999999999999</v>
      </c>
      <c r="S80" s="157">
        <v>350</v>
      </c>
      <c r="T80" s="211">
        <f t="shared" ref="T80:W80" si="265">ROUND(T195*$Y$2/12,2)*12</f>
        <v>14.16</v>
      </c>
      <c r="U80" s="211">
        <f t="shared" si="265"/>
        <v>21.240000000000002</v>
      </c>
      <c r="V80" s="211">
        <f t="shared" si="265"/>
        <v>28.200000000000003</v>
      </c>
      <c r="W80" s="211">
        <f t="shared" si="265"/>
        <v>42.36</v>
      </c>
    </row>
    <row r="81" spans="1:24" ht="13.8" thickBot="1">
      <c r="A81" s="154">
        <v>23</v>
      </c>
      <c r="B81" s="206">
        <f t="shared" ref="B81:E81" si="266">ROUND(B196*$Y$2/12,2)*12</f>
        <v>30.96</v>
      </c>
      <c r="C81" s="206">
        <f t="shared" si="266"/>
        <v>46.32</v>
      </c>
      <c r="D81" s="206">
        <f t="shared" si="266"/>
        <v>61.800000000000004</v>
      </c>
      <c r="E81" s="206">
        <f t="shared" si="266"/>
        <v>92.76</v>
      </c>
      <c r="F81" s="160"/>
      <c r="G81" s="154">
        <v>23</v>
      </c>
      <c r="H81" s="54">
        <f t="shared" ref="H81:K81" si="267">ROUND(H196*$Y$2/12,2)*12</f>
        <v>123.60000000000001</v>
      </c>
      <c r="I81" s="54">
        <f t="shared" si="267"/>
        <v>185.52</v>
      </c>
      <c r="J81" s="54">
        <f t="shared" si="267"/>
        <v>247.32</v>
      </c>
      <c r="K81" s="54">
        <f t="shared" si="267"/>
        <v>370.92</v>
      </c>
      <c r="M81" s="154">
        <v>2500</v>
      </c>
      <c r="N81" s="206">
        <f t="shared" ref="N81:Q81" si="268">ROUND(N196*$Y$2/12,2)*12</f>
        <v>47.04</v>
      </c>
      <c r="O81" s="206">
        <f t="shared" si="268"/>
        <v>70.56</v>
      </c>
      <c r="P81" s="206">
        <f t="shared" si="268"/>
        <v>94.08</v>
      </c>
      <c r="Q81" s="206">
        <f t="shared" si="268"/>
        <v>141.12</v>
      </c>
      <c r="S81" s="157">
        <v>360</v>
      </c>
      <c r="T81" s="211">
        <f t="shared" ref="T81:W81" si="269">ROUND(T196*$Y$2/12,2)*12</f>
        <v>14.52</v>
      </c>
      <c r="U81" s="211">
        <f t="shared" si="269"/>
        <v>21.72</v>
      </c>
      <c r="V81" s="211">
        <f t="shared" si="269"/>
        <v>29.04</v>
      </c>
      <c r="W81" s="211">
        <f t="shared" si="269"/>
        <v>43.56</v>
      </c>
    </row>
    <row r="82" spans="1:24" ht="13.8" thickBot="1">
      <c r="A82" s="154">
        <v>24</v>
      </c>
      <c r="B82" s="206">
        <f t="shared" ref="B82:E82" si="270">ROUND(B197*$Y$2/12,2)*12</f>
        <v>32.28</v>
      </c>
      <c r="C82" s="206">
        <f t="shared" si="270"/>
        <v>48.36</v>
      </c>
      <c r="D82" s="206">
        <f t="shared" si="270"/>
        <v>64.56</v>
      </c>
      <c r="E82" s="206">
        <f t="shared" si="270"/>
        <v>96.72</v>
      </c>
      <c r="F82" s="160"/>
      <c r="G82" s="154">
        <v>24</v>
      </c>
      <c r="H82" s="54">
        <f t="shared" ref="H82:K82" si="271">ROUND(H197*$Y$2/12,2)*12</f>
        <v>129</v>
      </c>
      <c r="I82" s="54">
        <f t="shared" si="271"/>
        <v>193.56</v>
      </c>
      <c r="J82" s="54">
        <f t="shared" si="271"/>
        <v>258</v>
      </c>
      <c r="K82" s="54">
        <f t="shared" si="271"/>
        <v>387.12</v>
      </c>
      <c r="M82" s="154">
        <v>2600</v>
      </c>
      <c r="N82" s="206">
        <f t="shared" ref="N82:Q82" si="272">ROUND(N197*$Y$2/12,2)*12</f>
        <v>48.96</v>
      </c>
      <c r="O82" s="206">
        <f t="shared" si="272"/>
        <v>73.44</v>
      </c>
      <c r="P82" s="206">
        <f t="shared" si="272"/>
        <v>97.800000000000011</v>
      </c>
      <c r="Q82" s="206">
        <f t="shared" si="272"/>
        <v>146.76</v>
      </c>
      <c r="S82" s="157">
        <v>370</v>
      </c>
      <c r="T82" s="211">
        <f t="shared" ref="T82:W82" si="273">ROUND(T197*$Y$2/12,2)*12</f>
        <v>14.879999999999999</v>
      </c>
      <c r="U82" s="211">
        <f t="shared" si="273"/>
        <v>22.44</v>
      </c>
      <c r="V82" s="211">
        <f t="shared" si="273"/>
        <v>29.880000000000003</v>
      </c>
      <c r="W82" s="211">
        <f t="shared" si="273"/>
        <v>44.76</v>
      </c>
    </row>
    <row r="83" spans="1:24" ht="13.8" thickBot="1">
      <c r="A83" s="154">
        <v>25</v>
      </c>
      <c r="B83" s="206">
        <f t="shared" ref="B83:E83" si="274">ROUND(B198*$Y$2/12,2)*12</f>
        <v>33.599999999999994</v>
      </c>
      <c r="C83" s="206">
        <f t="shared" si="274"/>
        <v>50.400000000000006</v>
      </c>
      <c r="D83" s="206">
        <f t="shared" si="274"/>
        <v>67.199999999999989</v>
      </c>
      <c r="E83" s="206">
        <f t="shared" si="274"/>
        <v>100.80000000000001</v>
      </c>
      <c r="F83" s="160"/>
      <c r="G83" s="155">
        <v>25</v>
      </c>
      <c r="H83" s="54">
        <f t="shared" ref="H83:K83" si="275">ROUND(H198*$Y$2/12,2)*12</f>
        <v>134.39999999999998</v>
      </c>
      <c r="I83" s="54">
        <f t="shared" si="275"/>
        <v>201.60000000000002</v>
      </c>
      <c r="J83" s="54">
        <f t="shared" si="275"/>
        <v>268.79999999999995</v>
      </c>
      <c r="K83" s="54">
        <f t="shared" si="275"/>
        <v>403.20000000000005</v>
      </c>
      <c r="M83" s="154">
        <v>2700</v>
      </c>
      <c r="N83" s="206">
        <f t="shared" ref="N83:Q83" si="276">ROUND(N198*$Y$2/12,2)*12</f>
        <v>50.760000000000005</v>
      </c>
      <c r="O83" s="206">
        <f t="shared" si="276"/>
        <v>76.199999999999989</v>
      </c>
      <c r="P83" s="206">
        <f t="shared" si="276"/>
        <v>101.64000000000001</v>
      </c>
      <c r="Q83" s="206">
        <f t="shared" si="276"/>
        <v>152.39999999999998</v>
      </c>
      <c r="S83" s="157">
        <v>380</v>
      </c>
      <c r="T83" s="211">
        <f t="shared" ref="T83:W83" si="277">ROUND(T198*$Y$2/12,2)*12</f>
        <v>15.36</v>
      </c>
      <c r="U83" s="211">
        <f t="shared" si="277"/>
        <v>23.04</v>
      </c>
      <c r="V83" s="211">
        <f t="shared" si="277"/>
        <v>30.599999999999998</v>
      </c>
      <c r="W83" s="211">
        <f t="shared" si="277"/>
        <v>45.96</v>
      </c>
    </row>
    <row r="84" spans="1:24">
      <c r="A84" s="154">
        <v>26</v>
      </c>
      <c r="B84" s="206">
        <f t="shared" ref="B84:E84" si="278">ROUND(B199*$Y$2/12,2)*12</f>
        <v>34.92</v>
      </c>
      <c r="C84" s="206">
        <f t="shared" si="278"/>
        <v>52.44</v>
      </c>
      <c r="D84" s="206">
        <f t="shared" si="278"/>
        <v>69.84</v>
      </c>
      <c r="E84" s="206">
        <f t="shared" si="278"/>
        <v>104.88</v>
      </c>
      <c r="F84" s="160"/>
      <c r="M84" s="154">
        <v>2800</v>
      </c>
      <c r="N84" s="206">
        <f t="shared" ref="N84:Q84" si="279">ROUND(N199*$Y$2/12,2)*12</f>
        <v>52.679999999999993</v>
      </c>
      <c r="O84" s="206">
        <f t="shared" si="279"/>
        <v>79.08</v>
      </c>
      <c r="P84" s="206">
        <f t="shared" si="279"/>
        <v>105.35999999999999</v>
      </c>
      <c r="Q84" s="206">
        <f t="shared" si="279"/>
        <v>158.04</v>
      </c>
      <c r="S84" s="157">
        <v>390</v>
      </c>
      <c r="T84" s="211">
        <f t="shared" ref="T84:W84" si="280">ROUND(T199*$Y$2/12,2)*12</f>
        <v>15.72</v>
      </c>
      <c r="U84" s="211">
        <f t="shared" si="280"/>
        <v>23.64</v>
      </c>
      <c r="V84" s="211">
        <f t="shared" si="280"/>
        <v>31.44</v>
      </c>
      <c r="W84" s="211">
        <f t="shared" si="280"/>
        <v>47.160000000000004</v>
      </c>
    </row>
    <row r="85" spans="1:24">
      <c r="A85" s="154">
        <v>27</v>
      </c>
      <c r="B85" s="206">
        <f t="shared" ref="B85:E85" si="281">ROUND(B200*$Y$2/12,2)*12</f>
        <v>36.24</v>
      </c>
      <c r="C85" s="206">
        <f t="shared" si="281"/>
        <v>54.480000000000004</v>
      </c>
      <c r="D85" s="206">
        <f t="shared" si="281"/>
        <v>72.599999999999994</v>
      </c>
      <c r="E85" s="206">
        <f t="shared" si="281"/>
        <v>108.84</v>
      </c>
      <c r="F85" s="160"/>
      <c r="M85" s="154">
        <v>2900</v>
      </c>
      <c r="N85" s="206">
        <f t="shared" ref="N85:Q85" si="282">ROUND(N200*$Y$2/12,2)*12</f>
        <v>54.599999999999994</v>
      </c>
      <c r="O85" s="206">
        <f t="shared" si="282"/>
        <v>81.84</v>
      </c>
      <c r="P85" s="206">
        <f t="shared" si="282"/>
        <v>109.08</v>
      </c>
      <c r="Q85" s="206">
        <f t="shared" si="282"/>
        <v>163.68</v>
      </c>
      <c r="S85" s="157">
        <v>400</v>
      </c>
      <c r="T85" s="211">
        <f t="shared" ref="T85:W85" si="283">ROUND(T200*$Y$2/12,2)*12</f>
        <v>16.080000000000002</v>
      </c>
      <c r="U85" s="211">
        <f t="shared" si="283"/>
        <v>24.240000000000002</v>
      </c>
      <c r="V85" s="211">
        <f t="shared" si="283"/>
        <v>32.28</v>
      </c>
      <c r="W85" s="211">
        <f t="shared" si="283"/>
        <v>48.36</v>
      </c>
    </row>
    <row r="86" spans="1:24">
      <c r="A86" s="154">
        <v>28</v>
      </c>
      <c r="B86" s="206">
        <f t="shared" ref="B86:E86" si="284">ROUND(B201*$Y$2/12,2)*12</f>
        <v>37.68</v>
      </c>
      <c r="C86" s="206">
        <f t="shared" si="284"/>
        <v>56.400000000000006</v>
      </c>
      <c r="D86" s="206">
        <f t="shared" si="284"/>
        <v>75.239999999999995</v>
      </c>
      <c r="E86" s="206">
        <f t="shared" si="284"/>
        <v>112.92</v>
      </c>
      <c r="F86" s="160"/>
      <c r="M86" s="154">
        <v>3000</v>
      </c>
      <c r="N86" s="206">
        <f t="shared" ref="N86:Q86" si="285">ROUND(N201*$Y$2/12,2)*12</f>
        <v>56.400000000000006</v>
      </c>
      <c r="O86" s="206">
        <f t="shared" si="285"/>
        <v>84.72</v>
      </c>
      <c r="P86" s="206">
        <f t="shared" si="285"/>
        <v>112.92</v>
      </c>
      <c r="Q86" s="206">
        <f t="shared" si="285"/>
        <v>169.32</v>
      </c>
      <c r="S86" s="157">
        <v>410</v>
      </c>
      <c r="T86" s="211">
        <f t="shared" ref="T86:W86" si="286">ROUND(T201*$Y$2/12,2)*12</f>
        <v>16.559999999999999</v>
      </c>
      <c r="U86" s="211">
        <f t="shared" si="286"/>
        <v>24.839999999999996</v>
      </c>
      <c r="V86" s="211">
        <f t="shared" si="286"/>
        <v>33.119999999999997</v>
      </c>
      <c r="W86" s="211">
        <f t="shared" si="286"/>
        <v>49.56</v>
      </c>
    </row>
    <row r="87" spans="1:24">
      <c r="A87" s="154">
        <v>29</v>
      </c>
      <c r="B87" s="206">
        <f t="shared" ref="B87:E87" si="287">ROUND(B202*$Y$2/12,2)*12</f>
        <v>39</v>
      </c>
      <c r="C87" s="206">
        <f t="shared" si="287"/>
        <v>58.44</v>
      </c>
      <c r="D87" s="206">
        <f t="shared" si="287"/>
        <v>78</v>
      </c>
      <c r="E87" s="206">
        <f t="shared" si="287"/>
        <v>116.88</v>
      </c>
      <c r="F87" s="160"/>
      <c r="M87" s="154">
        <v>3100</v>
      </c>
      <c r="N87" s="206">
        <f t="shared" ref="N87:Q87" si="288">ROUND(N202*$Y$2/12,2)*12</f>
        <v>58.320000000000007</v>
      </c>
      <c r="O87" s="206">
        <f t="shared" si="288"/>
        <v>87.48</v>
      </c>
      <c r="P87" s="206">
        <f t="shared" si="288"/>
        <v>116.64000000000001</v>
      </c>
      <c r="Q87" s="206">
        <f t="shared" si="288"/>
        <v>174.96</v>
      </c>
      <c r="S87" s="157">
        <v>420</v>
      </c>
      <c r="T87" s="211">
        <f t="shared" ref="T87:W87" si="289">ROUND(T202*$Y$2/12,2)*12</f>
        <v>16.919999999999998</v>
      </c>
      <c r="U87" s="211">
        <f t="shared" si="289"/>
        <v>25.44</v>
      </c>
      <c r="V87" s="211">
        <f t="shared" si="289"/>
        <v>33.839999999999996</v>
      </c>
      <c r="W87" s="211">
        <f t="shared" si="289"/>
        <v>50.760000000000005</v>
      </c>
    </row>
    <row r="88" spans="1:24">
      <c r="A88" s="154">
        <v>30</v>
      </c>
      <c r="B88" s="206">
        <f t="shared" ref="B88:E88" si="290">ROUND(B203*$Y$2/12,2)*12</f>
        <v>40.32</v>
      </c>
      <c r="C88" s="206">
        <f t="shared" si="290"/>
        <v>60.480000000000004</v>
      </c>
      <c r="D88" s="206">
        <f t="shared" si="290"/>
        <v>80.64</v>
      </c>
      <c r="E88" s="206">
        <f t="shared" si="290"/>
        <v>120.96000000000001</v>
      </c>
      <c r="F88" s="160"/>
      <c r="M88" s="154">
        <v>3200</v>
      </c>
      <c r="N88" s="206">
        <f t="shared" ref="N88:Q88" si="291">ROUND(N203*$Y$2/12,2)*12</f>
        <v>60.239999999999995</v>
      </c>
      <c r="O88" s="206">
        <f t="shared" si="291"/>
        <v>90.36</v>
      </c>
      <c r="P88" s="206">
        <f t="shared" si="291"/>
        <v>120.47999999999999</v>
      </c>
      <c r="Q88" s="206">
        <f t="shared" si="291"/>
        <v>180.60000000000002</v>
      </c>
      <c r="S88" s="157">
        <v>430</v>
      </c>
      <c r="T88" s="211">
        <f t="shared" ref="T88:W88" si="292">ROUND(T203*$Y$2/12,2)*12</f>
        <v>17.28</v>
      </c>
      <c r="U88" s="211">
        <f t="shared" si="292"/>
        <v>26.04</v>
      </c>
      <c r="V88" s="211">
        <f t="shared" si="292"/>
        <v>34.68</v>
      </c>
      <c r="W88" s="211">
        <f t="shared" si="292"/>
        <v>51.96</v>
      </c>
    </row>
    <row r="89" spans="1:24">
      <c r="A89" s="154">
        <v>31</v>
      </c>
      <c r="B89" s="206">
        <f t="shared" ref="B89:E89" si="293">ROUND(B204*$Y$2/12,2)*12</f>
        <v>41.64</v>
      </c>
      <c r="C89" s="206">
        <f t="shared" si="293"/>
        <v>62.519999999999996</v>
      </c>
      <c r="D89" s="206">
        <f t="shared" si="293"/>
        <v>83.28</v>
      </c>
      <c r="E89" s="206">
        <f t="shared" si="293"/>
        <v>125.03999999999999</v>
      </c>
      <c r="F89" s="160"/>
      <c r="M89" s="154">
        <v>3300</v>
      </c>
      <c r="N89" s="206">
        <f t="shared" ref="N89:Q89" si="294">ROUND(N204*$Y$2/12,2)*12</f>
        <v>62.04</v>
      </c>
      <c r="O89" s="206">
        <f t="shared" si="294"/>
        <v>93.12</v>
      </c>
      <c r="P89" s="206">
        <f t="shared" si="294"/>
        <v>124.19999999999999</v>
      </c>
      <c r="Q89" s="206">
        <f t="shared" si="294"/>
        <v>186.24</v>
      </c>
      <c r="S89" s="157">
        <v>440</v>
      </c>
      <c r="T89" s="211">
        <f t="shared" ref="T89:W89" si="295">ROUND(T204*$Y$2/12,2)*12</f>
        <v>17.759999999999998</v>
      </c>
      <c r="U89" s="211">
        <f t="shared" si="295"/>
        <v>26.64</v>
      </c>
      <c r="V89" s="211">
        <f t="shared" si="295"/>
        <v>35.519999999999996</v>
      </c>
      <c r="W89" s="211">
        <f t="shared" si="295"/>
        <v>53.28</v>
      </c>
    </row>
    <row r="90" spans="1:24">
      <c r="A90" s="154">
        <v>32</v>
      </c>
      <c r="B90" s="206">
        <f t="shared" ref="B90:E90" si="296">ROUND(B205*$Y$2/12,2)*12</f>
        <v>42.96</v>
      </c>
      <c r="C90" s="206">
        <f t="shared" si="296"/>
        <v>64.56</v>
      </c>
      <c r="D90" s="206">
        <f t="shared" si="296"/>
        <v>86.039999999999992</v>
      </c>
      <c r="E90" s="206">
        <f t="shared" si="296"/>
        <v>129</v>
      </c>
      <c r="F90" s="160"/>
      <c r="M90" s="154">
        <v>3400</v>
      </c>
      <c r="N90" s="206">
        <f t="shared" ref="N90:Q90" si="297">ROUND(N205*$Y$2/12,2)*12</f>
        <v>63.96</v>
      </c>
      <c r="O90" s="206">
        <f t="shared" si="297"/>
        <v>96</v>
      </c>
      <c r="P90" s="206">
        <f t="shared" si="297"/>
        <v>127.92</v>
      </c>
      <c r="Q90" s="206">
        <f t="shared" si="297"/>
        <v>191.88</v>
      </c>
      <c r="S90" s="157">
        <v>450</v>
      </c>
      <c r="T90" s="211">
        <f t="shared" ref="T90:W90" si="298">ROUND(T205*$Y$2/12,2)*12</f>
        <v>18.12</v>
      </c>
      <c r="U90" s="211">
        <f t="shared" si="298"/>
        <v>27.240000000000002</v>
      </c>
      <c r="V90" s="211">
        <f t="shared" si="298"/>
        <v>36.24</v>
      </c>
      <c r="W90" s="211">
        <f t="shared" si="298"/>
        <v>54.480000000000004</v>
      </c>
    </row>
    <row r="91" spans="1:24" ht="13.8" thickBot="1">
      <c r="A91" s="154">
        <v>33</v>
      </c>
      <c r="B91" s="206">
        <f t="shared" ref="B91:E91" si="299">ROUND(B206*$Y$2/12,2)*12</f>
        <v>44.400000000000006</v>
      </c>
      <c r="C91" s="206">
        <f t="shared" si="299"/>
        <v>66.48</v>
      </c>
      <c r="D91" s="206">
        <f t="shared" si="299"/>
        <v>88.679999999999993</v>
      </c>
      <c r="E91" s="206">
        <f t="shared" si="299"/>
        <v>133.07999999999998</v>
      </c>
      <c r="F91" s="160"/>
      <c r="M91" s="155">
        <v>3500</v>
      </c>
      <c r="N91" s="206">
        <f t="shared" ref="N91:Q91" si="300">ROUND(N206*$Y$2/12,2)*12</f>
        <v>65.88</v>
      </c>
      <c r="O91" s="206">
        <f t="shared" si="300"/>
        <v>98.76</v>
      </c>
      <c r="P91" s="206">
        <f t="shared" si="300"/>
        <v>131.76</v>
      </c>
      <c r="Q91" s="206">
        <f t="shared" si="300"/>
        <v>197.52</v>
      </c>
      <c r="S91" s="157">
        <v>460</v>
      </c>
      <c r="T91" s="211">
        <f t="shared" ref="T91:W91" si="301">ROUND(T206*$Y$2/12,2)*12</f>
        <v>18.600000000000001</v>
      </c>
      <c r="U91" s="211">
        <f t="shared" si="301"/>
        <v>27.839999999999996</v>
      </c>
      <c r="V91" s="211">
        <f t="shared" si="301"/>
        <v>37.08</v>
      </c>
      <c r="W91" s="211">
        <f t="shared" si="301"/>
        <v>55.679999999999993</v>
      </c>
    </row>
    <row r="92" spans="1:24">
      <c r="A92" s="154">
        <v>34</v>
      </c>
      <c r="B92" s="206">
        <f t="shared" ref="B92:E92" si="302">ROUND(B207*$Y$2/12,2)*12</f>
        <v>45.72</v>
      </c>
      <c r="C92" s="206">
        <f t="shared" si="302"/>
        <v>68.52</v>
      </c>
      <c r="D92" s="206">
        <f t="shared" si="302"/>
        <v>91.44</v>
      </c>
      <c r="E92" s="206">
        <f t="shared" si="302"/>
        <v>137.04</v>
      </c>
      <c r="F92" s="160"/>
      <c r="S92" s="157">
        <v>470</v>
      </c>
      <c r="T92" s="211">
        <f t="shared" ref="T92:W92" si="303">ROUND(T207*$Y$2/12,2)*12</f>
        <v>18.96</v>
      </c>
      <c r="U92" s="211">
        <f t="shared" si="303"/>
        <v>28.44</v>
      </c>
      <c r="V92" s="211">
        <f t="shared" si="303"/>
        <v>37.92</v>
      </c>
      <c r="W92" s="211">
        <f t="shared" si="303"/>
        <v>56.88</v>
      </c>
    </row>
    <row r="93" spans="1:24">
      <c r="A93" s="154">
        <v>35</v>
      </c>
      <c r="B93" s="206">
        <f t="shared" ref="B93:E93" si="304">ROUND(B208*$Y$2/12,2)*12</f>
        <v>47.04</v>
      </c>
      <c r="C93" s="206">
        <f t="shared" si="304"/>
        <v>70.56</v>
      </c>
      <c r="D93" s="206">
        <f t="shared" si="304"/>
        <v>94.08</v>
      </c>
      <c r="E93" s="206">
        <f t="shared" si="304"/>
        <v>141.12</v>
      </c>
      <c r="F93" s="160"/>
      <c r="M93" s="159"/>
      <c r="S93" s="157">
        <v>480</v>
      </c>
      <c r="T93" s="211">
        <f t="shared" ref="T93:W93" si="305">ROUND(T208*$Y$2/12,2)*12</f>
        <v>19.32</v>
      </c>
      <c r="U93" s="211">
        <f t="shared" si="305"/>
        <v>29.04</v>
      </c>
      <c r="V93" s="211">
        <f t="shared" si="305"/>
        <v>38.76</v>
      </c>
      <c r="W93" s="211">
        <f t="shared" si="305"/>
        <v>58.08</v>
      </c>
    </row>
    <row r="94" spans="1:24" ht="13.8" thickBot="1">
      <c r="A94" s="155">
        <v>36</v>
      </c>
      <c r="B94" s="206">
        <f t="shared" ref="B94:E94" si="306">ROUND(B209*$Y$2/12,2)*12</f>
        <v>48.36</v>
      </c>
      <c r="C94" s="206">
        <f t="shared" si="306"/>
        <v>72.599999999999994</v>
      </c>
      <c r="D94" s="206">
        <f t="shared" si="306"/>
        <v>96.72</v>
      </c>
      <c r="E94" s="206">
        <f t="shared" si="306"/>
        <v>145.19999999999999</v>
      </c>
      <c r="M94" s="162"/>
      <c r="N94" s="162"/>
      <c r="S94" s="157">
        <v>490</v>
      </c>
      <c r="T94" s="211">
        <f t="shared" ref="T94:W94" si="307">ROUND(T209*$Y$2/12,2)*12</f>
        <v>19.799999999999997</v>
      </c>
      <c r="U94" s="211">
        <f t="shared" si="307"/>
        <v>29.759999999999998</v>
      </c>
      <c r="V94" s="211">
        <f t="shared" si="307"/>
        <v>39.480000000000004</v>
      </c>
      <c r="W94" s="211">
        <f t="shared" si="307"/>
        <v>59.28</v>
      </c>
    </row>
    <row r="95" spans="1:24" s="207" customFormat="1">
      <c r="A95" s="161"/>
      <c r="B95" s="161"/>
      <c r="C95" s="161"/>
      <c r="D95" s="161"/>
      <c r="E95" s="161"/>
      <c r="F95" s="198"/>
      <c r="G95" s="161"/>
      <c r="H95" s="161"/>
      <c r="I95" s="161"/>
      <c r="J95" s="161"/>
      <c r="K95" s="161"/>
      <c r="M95" s="162"/>
      <c r="N95" s="162"/>
      <c r="O95" s="161"/>
      <c r="P95" s="161"/>
      <c r="Q95" s="161"/>
      <c r="S95" s="157">
        <v>500</v>
      </c>
      <c r="T95" s="211">
        <f t="shared" ref="T95:W95" si="308">ROUND(T210*$Y$2/12,2)*12</f>
        <v>20.16</v>
      </c>
      <c r="U95" s="211">
        <f t="shared" si="308"/>
        <v>30.240000000000002</v>
      </c>
      <c r="V95" s="211">
        <f t="shared" si="308"/>
        <v>40.32</v>
      </c>
      <c r="W95" s="211">
        <f t="shared" si="308"/>
        <v>60.480000000000004</v>
      </c>
    </row>
    <row r="96" spans="1:24">
      <c r="A96" s="207"/>
      <c r="B96" s="55"/>
      <c r="C96" s="55"/>
      <c r="D96" s="55"/>
      <c r="F96" s="198"/>
      <c r="G96" s="207"/>
      <c r="H96" s="55"/>
      <c r="I96" s="55"/>
      <c r="J96" s="55"/>
      <c r="K96" s="207"/>
      <c r="R96" s="162"/>
      <c r="S96" s="157">
        <v>510</v>
      </c>
      <c r="T96" s="211">
        <f t="shared" ref="T96:W96" si="309">ROUND(T211*$Y$2/12,2)*12</f>
        <v>20.52</v>
      </c>
      <c r="U96" s="211">
        <f t="shared" si="309"/>
        <v>30.96</v>
      </c>
      <c r="V96" s="211">
        <f t="shared" si="309"/>
        <v>41.160000000000004</v>
      </c>
      <c r="W96" s="211">
        <f t="shared" si="309"/>
        <v>61.679999999999993</v>
      </c>
      <c r="X96" s="162"/>
    </row>
    <row r="97" spans="1:24" ht="13.8" thickBot="1">
      <c r="A97" s="60" t="s">
        <v>652</v>
      </c>
      <c r="B97" s="55"/>
      <c r="C97" s="55"/>
      <c r="D97" s="55"/>
      <c r="G97" s="60" t="s">
        <v>653</v>
      </c>
      <c r="H97" s="55"/>
      <c r="I97" s="55"/>
      <c r="J97" s="55"/>
      <c r="M97" s="60" t="s">
        <v>654</v>
      </c>
      <c r="N97" s="55"/>
      <c r="O97" s="55"/>
      <c r="P97" s="55"/>
      <c r="Q97" s="207"/>
      <c r="R97" s="209"/>
      <c r="S97" s="157">
        <v>520</v>
      </c>
      <c r="T97" s="211">
        <f t="shared" ref="T97:W97" si="310">ROUND(T212*$Y$2/12,2)*12</f>
        <v>21</v>
      </c>
      <c r="U97" s="211">
        <f t="shared" si="310"/>
        <v>31.44</v>
      </c>
      <c r="V97" s="211">
        <f t="shared" si="310"/>
        <v>41.88</v>
      </c>
      <c r="W97" s="211">
        <f t="shared" si="310"/>
        <v>62.88</v>
      </c>
      <c r="X97" s="162"/>
    </row>
    <row r="98" spans="1:24">
      <c r="A98" s="56"/>
      <c r="B98" s="61"/>
      <c r="C98" s="62"/>
      <c r="D98" s="63" t="s">
        <v>24</v>
      </c>
      <c r="G98" s="56"/>
      <c r="H98" s="61"/>
      <c r="I98" s="62"/>
      <c r="J98" s="63" t="s">
        <v>24</v>
      </c>
      <c r="M98" s="56"/>
      <c r="N98" s="61"/>
      <c r="O98" s="62"/>
      <c r="P98" s="63" t="s">
        <v>24</v>
      </c>
      <c r="Q98" s="162"/>
      <c r="R98" s="188"/>
      <c r="S98" s="157">
        <v>530</v>
      </c>
      <c r="T98" s="211">
        <f t="shared" ref="T98:W98" si="311">ROUND(T213*$Y$2/12,2)*12</f>
        <v>21.36</v>
      </c>
      <c r="U98" s="211">
        <f t="shared" si="311"/>
        <v>32.160000000000004</v>
      </c>
      <c r="V98" s="211">
        <f t="shared" si="311"/>
        <v>42.72</v>
      </c>
      <c r="W98" s="211">
        <f t="shared" si="311"/>
        <v>64.08</v>
      </c>
      <c r="X98" s="162"/>
    </row>
    <row r="99" spans="1:24" ht="13.8" thickBot="1">
      <c r="A99" s="64"/>
      <c r="B99" s="65" t="s">
        <v>14</v>
      </c>
      <c r="C99" s="66" t="s">
        <v>74</v>
      </c>
      <c r="D99" s="58" t="s">
        <v>75</v>
      </c>
      <c r="G99" s="64"/>
      <c r="H99" s="65" t="s">
        <v>14</v>
      </c>
      <c r="I99" s="66" t="s">
        <v>74</v>
      </c>
      <c r="J99" s="58" t="s">
        <v>75</v>
      </c>
      <c r="M99" s="64"/>
      <c r="N99" s="65" t="s">
        <v>14</v>
      </c>
      <c r="O99" s="66" t="s">
        <v>74</v>
      </c>
      <c r="P99" s="58" t="s">
        <v>75</v>
      </c>
      <c r="Q99" s="209"/>
      <c r="R99" s="162"/>
      <c r="S99" s="157">
        <v>540</v>
      </c>
      <c r="T99" s="211">
        <f t="shared" ref="T99:W99" si="312">ROUND(T214*$Y$2/12,2)*12</f>
        <v>21.72</v>
      </c>
      <c r="U99" s="211">
        <f t="shared" si="312"/>
        <v>32.64</v>
      </c>
      <c r="V99" s="211">
        <f t="shared" si="312"/>
        <v>43.56</v>
      </c>
      <c r="W99" s="211">
        <f t="shared" si="312"/>
        <v>65.28</v>
      </c>
      <c r="X99" s="162"/>
    </row>
    <row r="100" spans="1:24" ht="13.8" thickBot="1">
      <c r="A100" s="67">
        <v>1</v>
      </c>
      <c r="B100" s="68" t="s">
        <v>19</v>
      </c>
      <c r="C100" s="69">
        <v>500</v>
      </c>
      <c r="D100" s="70">
        <f t="shared" ref="D100:D102" si="313">ROUND(D215*$Y$2/12,2)*12</f>
        <v>0.72</v>
      </c>
      <c r="G100" s="67">
        <v>1</v>
      </c>
      <c r="H100" s="68" t="s">
        <v>19</v>
      </c>
      <c r="I100" s="69">
        <v>500</v>
      </c>
      <c r="J100" s="70">
        <f t="shared" ref="J100:J102" si="314">ROUND(J215*$Y$2/12,2)*12</f>
        <v>0.72</v>
      </c>
      <c r="M100" s="67">
        <v>1</v>
      </c>
      <c r="N100" s="68" t="s">
        <v>19</v>
      </c>
      <c r="O100" s="69">
        <v>500</v>
      </c>
      <c r="P100" s="70">
        <f t="shared" ref="P100:P102" si="315">ROUND(P215*$Y$2/12,2)*12</f>
        <v>0.72</v>
      </c>
      <c r="Q100" s="188"/>
      <c r="R100" s="162"/>
      <c r="S100" s="157">
        <v>550</v>
      </c>
      <c r="T100" s="211">
        <f t="shared" ref="T100:W100" si="316">ROUND(T215*$Y$2/12,2)*12</f>
        <v>22.200000000000003</v>
      </c>
      <c r="U100" s="211">
        <f t="shared" si="316"/>
        <v>33.36</v>
      </c>
      <c r="V100" s="211">
        <f t="shared" si="316"/>
        <v>44.400000000000006</v>
      </c>
      <c r="W100" s="211">
        <f t="shared" si="316"/>
        <v>66.48</v>
      </c>
      <c r="X100" s="162"/>
    </row>
    <row r="101" spans="1:24" ht="13.8" thickBot="1">
      <c r="A101" s="59">
        <v>2</v>
      </c>
      <c r="B101" s="71" t="s">
        <v>611</v>
      </c>
      <c r="C101" s="72">
        <v>3000</v>
      </c>
      <c r="D101" s="70">
        <f t="shared" si="313"/>
        <v>10.08</v>
      </c>
      <c r="G101" s="59">
        <v>2</v>
      </c>
      <c r="H101" s="71" t="s">
        <v>611</v>
      </c>
      <c r="I101" s="72">
        <v>5500</v>
      </c>
      <c r="J101" s="70">
        <f t="shared" si="314"/>
        <v>19.440000000000001</v>
      </c>
      <c r="M101" s="59">
        <v>2</v>
      </c>
      <c r="N101" s="71" t="s">
        <v>611</v>
      </c>
      <c r="O101" s="72">
        <v>8000</v>
      </c>
      <c r="P101" s="70">
        <f t="shared" si="315"/>
        <v>27.599999999999998</v>
      </c>
      <c r="Q101" s="162"/>
      <c r="R101" s="162"/>
      <c r="S101" s="157">
        <v>560</v>
      </c>
      <c r="T101" s="211">
        <f t="shared" ref="T101:W101" si="317">ROUND(T216*$Y$2/12,2)*12</f>
        <v>22.56</v>
      </c>
      <c r="U101" s="211">
        <f t="shared" si="317"/>
        <v>33.839999999999996</v>
      </c>
      <c r="V101" s="211">
        <f t="shared" si="317"/>
        <v>45.12</v>
      </c>
      <c r="W101" s="211">
        <f t="shared" si="317"/>
        <v>67.679999999999993</v>
      </c>
      <c r="X101" s="162"/>
    </row>
    <row r="102" spans="1:24" ht="13.8" thickBot="1">
      <c r="A102" s="73">
        <v>3</v>
      </c>
      <c r="B102" s="74" t="s">
        <v>656</v>
      </c>
      <c r="C102" s="75">
        <v>1000</v>
      </c>
      <c r="D102" s="70">
        <f t="shared" si="313"/>
        <v>16.080000000000002</v>
      </c>
      <c r="G102" s="73">
        <v>3</v>
      </c>
      <c r="H102" s="74" t="s">
        <v>656</v>
      </c>
      <c r="I102" s="75">
        <v>2000</v>
      </c>
      <c r="J102" s="70">
        <f t="shared" si="314"/>
        <v>33.599999999999994</v>
      </c>
      <c r="M102" s="73">
        <v>3</v>
      </c>
      <c r="N102" s="74" t="s">
        <v>656</v>
      </c>
      <c r="O102" s="75">
        <v>3000</v>
      </c>
      <c r="P102" s="70">
        <f t="shared" si="315"/>
        <v>49.679999999999993</v>
      </c>
      <c r="Q102" s="162"/>
      <c r="R102" s="162"/>
      <c r="S102" s="157">
        <v>570</v>
      </c>
      <c r="T102" s="211">
        <f t="shared" ref="T102:W102" si="318">ROUND(T217*$Y$2/12,2)*12</f>
        <v>23.04</v>
      </c>
      <c r="U102" s="211">
        <f t="shared" si="318"/>
        <v>34.56</v>
      </c>
      <c r="V102" s="211">
        <f t="shared" si="318"/>
        <v>45.96</v>
      </c>
      <c r="W102" s="211">
        <f t="shared" si="318"/>
        <v>69</v>
      </c>
      <c r="X102" s="162"/>
    </row>
    <row r="103" spans="1:24" ht="13.8" thickBot="1">
      <c r="A103" s="76"/>
      <c r="B103" s="77" t="s">
        <v>23</v>
      </c>
      <c r="C103" s="78"/>
      <c r="D103" s="1158">
        <f>ROUND(D218*$Y$2/12,2)*12</f>
        <v>26.880000000000003</v>
      </c>
      <c r="E103" s="160"/>
      <c r="F103" s="160"/>
      <c r="G103" s="76"/>
      <c r="H103" s="77" t="s">
        <v>23</v>
      </c>
      <c r="I103" s="78"/>
      <c r="J103" s="1158">
        <f>ROUND(J218*$Y$2/12,2)*12</f>
        <v>53.760000000000005</v>
      </c>
      <c r="K103" s="160"/>
      <c r="L103" s="160"/>
      <c r="M103" s="76"/>
      <c r="N103" s="77" t="s">
        <v>23</v>
      </c>
      <c r="O103" s="78"/>
      <c r="P103" s="1158">
        <f>ROUND(P218*$Y$2/12,2)*12</f>
        <v>78</v>
      </c>
      <c r="Q103" s="162"/>
      <c r="R103" s="162"/>
      <c r="S103" s="157">
        <v>580</v>
      </c>
      <c r="T103" s="211">
        <f t="shared" ref="T103:W103" si="319">ROUND(T218*$Y$2/12,2)*12</f>
        <v>23.4</v>
      </c>
      <c r="U103" s="211">
        <f t="shared" si="319"/>
        <v>35.04</v>
      </c>
      <c r="V103" s="211">
        <f t="shared" si="319"/>
        <v>46.8</v>
      </c>
      <c r="W103" s="211">
        <f t="shared" si="319"/>
        <v>70.199999999999989</v>
      </c>
      <c r="X103" s="162"/>
    </row>
    <row r="104" spans="1:24">
      <c r="A104" s="79"/>
      <c r="B104" s="57" t="s">
        <v>72</v>
      </c>
      <c r="C104" s="80"/>
      <c r="D104" s="81">
        <f>sadzba_1baldeti/12</f>
        <v>2.2400000000000002</v>
      </c>
      <c r="G104" s="55"/>
      <c r="H104" s="57" t="s">
        <v>72</v>
      </c>
      <c r="I104" s="55"/>
      <c r="J104" s="81">
        <f>sadzba_2baldeti/12</f>
        <v>4.4800000000000004</v>
      </c>
      <c r="M104" s="53"/>
      <c r="N104" s="57" t="s">
        <v>72</v>
      </c>
      <c r="O104" s="53"/>
      <c r="P104" s="81">
        <f>sadzba_3baldeti/12</f>
        <v>6.5</v>
      </c>
      <c r="Q104" s="162"/>
      <c r="R104" s="162"/>
      <c r="S104" s="157">
        <v>590</v>
      </c>
      <c r="T104" s="211">
        <f t="shared" ref="T104:W104" si="320">ROUND(T219*$Y$2/12,2)*12</f>
        <v>23.759999999999998</v>
      </c>
      <c r="U104" s="211">
        <f t="shared" si="320"/>
        <v>35.76</v>
      </c>
      <c r="V104" s="211">
        <f t="shared" si="320"/>
        <v>47.519999999999996</v>
      </c>
      <c r="W104" s="211">
        <f t="shared" si="320"/>
        <v>71.400000000000006</v>
      </c>
      <c r="X104" s="162"/>
    </row>
    <row r="105" spans="1:24">
      <c r="A105" s="55"/>
      <c r="B105" s="55"/>
      <c r="C105" s="55"/>
      <c r="D105" s="82"/>
      <c r="Q105" s="162"/>
      <c r="R105" s="162"/>
      <c r="S105" s="157">
        <v>600</v>
      </c>
      <c r="T105" s="211">
        <f t="shared" ref="T105:W105" si="321">ROUND(T220*$Y$2/12,2)*12</f>
        <v>24.240000000000002</v>
      </c>
      <c r="U105" s="211">
        <f t="shared" si="321"/>
        <v>36.24</v>
      </c>
      <c r="V105" s="211">
        <f t="shared" si="321"/>
        <v>48.36</v>
      </c>
      <c r="W105" s="211">
        <f t="shared" si="321"/>
        <v>72.599999999999994</v>
      </c>
      <c r="X105" s="162"/>
    </row>
    <row r="106" spans="1:24">
      <c r="A106" s="55"/>
      <c r="B106" s="55"/>
      <c r="C106" s="55"/>
      <c r="D106" s="82"/>
      <c r="N106" s="162"/>
      <c r="O106" s="162"/>
      <c r="P106" s="162"/>
      <c r="Q106" s="162"/>
      <c r="R106" s="162"/>
      <c r="S106" s="157">
        <v>610</v>
      </c>
      <c r="T106" s="211">
        <f t="shared" ref="T106:W106" si="322">ROUND(T221*$Y$2/12,2)*12</f>
        <v>24.599999999999998</v>
      </c>
      <c r="U106" s="211">
        <f t="shared" si="322"/>
        <v>36.96</v>
      </c>
      <c r="V106" s="211">
        <f t="shared" si="322"/>
        <v>49.199999999999996</v>
      </c>
      <c r="W106" s="211">
        <f t="shared" si="322"/>
        <v>73.800000000000011</v>
      </c>
      <c r="X106" s="162"/>
    </row>
    <row r="107" spans="1:24">
      <c r="N107" s="162"/>
      <c r="O107" s="162"/>
      <c r="P107" s="162"/>
      <c r="Q107" s="162"/>
      <c r="R107" s="162"/>
      <c r="S107" s="157">
        <v>620</v>
      </c>
      <c r="T107" s="211">
        <f t="shared" ref="T107:W107" si="323">ROUND(T222*$Y$2/12,2)*12</f>
        <v>24.96</v>
      </c>
      <c r="U107" s="211">
        <f t="shared" si="323"/>
        <v>37.44</v>
      </c>
      <c r="V107" s="211">
        <f t="shared" si="323"/>
        <v>50.04</v>
      </c>
      <c r="W107" s="211">
        <f t="shared" si="323"/>
        <v>75</v>
      </c>
      <c r="X107" s="162"/>
    </row>
    <row r="108" spans="1:24">
      <c r="N108" s="162"/>
      <c r="O108" s="162"/>
      <c r="P108" s="162"/>
      <c r="Q108" s="162"/>
      <c r="R108" s="162"/>
      <c r="S108" s="157">
        <v>630</v>
      </c>
      <c r="T108" s="211">
        <f t="shared" ref="T108:W108" si="324">ROUND(T223*$Y$2/12,2)*12</f>
        <v>25.44</v>
      </c>
      <c r="U108" s="211">
        <f t="shared" si="324"/>
        <v>38.160000000000004</v>
      </c>
      <c r="V108" s="211">
        <f t="shared" si="324"/>
        <v>50.760000000000005</v>
      </c>
      <c r="W108" s="211">
        <f t="shared" si="324"/>
        <v>76.199999999999989</v>
      </c>
      <c r="X108" s="162"/>
    </row>
    <row r="109" spans="1:24">
      <c r="N109" s="162"/>
      <c r="O109" s="162"/>
      <c r="P109" s="162"/>
      <c r="Q109" s="162"/>
      <c r="R109" s="162"/>
      <c r="S109" s="157">
        <v>640</v>
      </c>
      <c r="T109" s="211">
        <f t="shared" ref="T109:W109" si="325">ROUND(T224*$Y$2/12,2)*12</f>
        <v>25.799999999999997</v>
      </c>
      <c r="U109" s="211">
        <f t="shared" si="325"/>
        <v>38.76</v>
      </c>
      <c r="V109" s="211">
        <f t="shared" si="325"/>
        <v>51.599999999999994</v>
      </c>
      <c r="W109" s="211">
        <f t="shared" si="325"/>
        <v>77.400000000000006</v>
      </c>
      <c r="X109" s="162"/>
    </row>
    <row r="110" spans="1:24">
      <c r="N110" s="162"/>
      <c r="O110" s="162"/>
      <c r="P110" s="162"/>
      <c r="Q110" s="162"/>
      <c r="R110" s="162"/>
      <c r="S110" s="157">
        <v>650</v>
      </c>
      <c r="T110" s="211">
        <f t="shared" ref="T110:W110" si="326">ROUND(T225*$Y$2/12,2)*12</f>
        <v>26.160000000000004</v>
      </c>
      <c r="U110" s="211">
        <f t="shared" si="326"/>
        <v>39.36</v>
      </c>
      <c r="V110" s="211">
        <f t="shared" si="326"/>
        <v>52.44</v>
      </c>
      <c r="W110" s="211">
        <f t="shared" si="326"/>
        <v>78.599999999999994</v>
      </c>
      <c r="X110" s="162"/>
    </row>
    <row r="111" spans="1:24">
      <c r="N111" s="162"/>
      <c r="O111" s="162"/>
      <c r="P111" s="162"/>
      <c r="Q111" s="162"/>
      <c r="R111" s="162"/>
      <c r="S111" s="157">
        <v>660</v>
      </c>
      <c r="T111" s="211">
        <f t="shared" ref="T111:W111" si="327">ROUND(T226*$Y$2/12,2)*12</f>
        <v>26.64</v>
      </c>
      <c r="U111" s="211">
        <f t="shared" si="327"/>
        <v>39.96</v>
      </c>
      <c r="V111" s="211">
        <f t="shared" si="327"/>
        <v>53.28</v>
      </c>
      <c r="W111" s="211">
        <f t="shared" si="327"/>
        <v>79.800000000000011</v>
      </c>
      <c r="X111" s="162"/>
    </row>
    <row r="112" spans="1:24" ht="13.8" thickBot="1">
      <c r="N112" s="162"/>
      <c r="O112" s="162"/>
      <c r="P112" s="162"/>
      <c r="Q112" s="162"/>
      <c r="R112" s="162"/>
      <c r="S112" s="158">
        <v>670</v>
      </c>
      <c r="T112" s="211">
        <f t="shared" ref="T112:W112" si="328">ROUND(T227*$Y$2/12,2)*12</f>
        <v>27</v>
      </c>
      <c r="U112" s="211">
        <f t="shared" si="328"/>
        <v>40.56</v>
      </c>
      <c r="V112" s="211">
        <f t="shared" si="328"/>
        <v>54</v>
      </c>
      <c r="W112" s="211">
        <f t="shared" si="328"/>
        <v>81</v>
      </c>
      <c r="X112" s="162"/>
    </row>
    <row r="113" spans="1:24">
      <c r="N113" s="162"/>
      <c r="O113" s="162"/>
      <c r="P113" s="162"/>
      <c r="Q113" s="162"/>
      <c r="R113" s="162"/>
      <c r="S113" s="162"/>
      <c r="T113" s="212"/>
      <c r="U113" s="212"/>
      <c r="V113" s="212"/>
      <c r="W113" s="212"/>
      <c r="X113" s="162"/>
    </row>
    <row r="114" spans="1:24" hidden="1">
      <c r="A114" s="198" t="s">
        <v>919</v>
      </c>
      <c r="N114" s="162"/>
      <c r="O114" s="162"/>
      <c r="P114" s="162"/>
      <c r="Q114" s="162"/>
      <c r="R114" s="162"/>
      <c r="S114" s="162"/>
      <c r="T114" s="212"/>
      <c r="U114" s="212"/>
      <c r="V114" s="212"/>
      <c r="W114" s="212"/>
      <c r="X114" s="162"/>
    </row>
    <row r="115" spans="1:24" ht="14.4" hidden="1">
      <c r="A115" s="1048"/>
      <c r="B115" s="1048"/>
      <c r="C115" s="1048"/>
      <c r="D115" s="1048"/>
      <c r="E115" s="1048"/>
      <c r="F115" s="1048"/>
      <c r="G115" s="1048"/>
      <c r="H115" s="1048"/>
      <c r="I115" s="1048"/>
      <c r="J115" s="1048"/>
      <c r="K115" s="1048"/>
      <c r="L115" s="1048"/>
      <c r="M115" s="1048"/>
      <c r="N115" s="1049"/>
      <c r="O115" s="1049"/>
      <c r="P115" s="1049"/>
      <c r="Q115" s="1049"/>
      <c r="R115" s="1049"/>
      <c r="S115" s="1049"/>
      <c r="T115" s="1050"/>
      <c r="U115" s="1050"/>
      <c r="V115" s="1050"/>
      <c r="W115" s="1050"/>
      <c r="X115" s="162"/>
    </row>
    <row r="116" spans="1:24" ht="15" hidden="1" thickBot="1">
      <c r="A116" s="1326" t="s">
        <v>19</v>
      </c>
      <c r="B116" s="1326"/>
      <c r="C116" s="1326"/>
      <c r="D116" s="1049"/>
      <c r="E116" s="1049"/>
      <c r="F116" s="1048"/>
      <c r="G116" s="1327" t="s">
        <v>76</v>
      </c>
      <c r="H116" s="1327"/>
      <c r="I116" s="1327"/>
      <c r="J116" s="1051"/>
      <c r="K116" s="1051"/>
      <c r="L116" s="1048"/>
      <c r="M116" s="1052" t="s">
        <v>614</v>
      </c>
      <c r="N116" s="1053"/>
      <c r="O116" s="1054"/>
      <c r="P116" s="1049"/>
      <c r="Q116" s="1049"/>
      <c r="R116" s="1049"/>
      <c r="S116" s="1052" t="s">
        <v>126</v>
      </c>
      <c r="T116" s="1048"/>
      <c r="U116" s="1055"/>
      <c r="V116" s="1055"/>
      <c r="W116" s="1055"/>
      <c r="X116" s="162"/>
    </row>
    <row r="117" spans="1:24" ht="15.6" hidden="1" thickTop="1" thickBot="1">
      <c r="A117" s="1056"/>
      <c r="B117" s="1057" t="s">
        <v>612</v>
      </c>
      <c r="C117" s="1058"/>
      <c r="D117" s="1058"/>
      <c r="E117" s="1059"/>
      <c r="F117" s="1048"/>
      <c r="G117" s="1060"/>
      <c r="H117" s="1061" t="s">
        <v>612</v>
      </c>
      <c r="I117" s="1062"/>
      <c r="J117" s="1062"/>
      <c r="K117" s="1063"/>
      <c r="L117" s="1048"/>
      <c r="M117" s="1064"/>
      <c r="N117" s="1064" t="s">
        <v>612</v>
      </c>
      <c r="O117" s="1065"/>
      <c r="P117" s="1065"/>
      <c r="Q117" s="1066"/>
      <c r="R117" s="1049"/>
      <c r="S117" s="1056"/>
      <c r="T117" s="1067" t="s">
        <v>612</v>
      </c>
      <c r="U117" s="1068"/>
      <c r="V117" s="1068"/>
      <c r="W117" s="1069"/>
      <c r="X117" s="162"/>
    </row>
    <row r="118" spans="1:24" ht="15" hidden="1" thickBot="1">
      <c r="A118" s="1070" t="s">
        <v>74</v>
      </c>
      <c r="B118" s="1071" t="s">
        <v>15</v>
      </c>
      <c r="C118" s="1072" t="s">
        <v>16</v>
      </c>
      <c r="D118" s="1072" t="s">
        <v>17</v>
      </c>
      <c r="E118" s="1059" t="s">
        <v>18</v>
      </c>
      <c r="F118" s="1048"/>
      <c r="G118" s="1073" t="s">
        <v>74</v>
      </c>
      <c r="H118" s="1071" t="s">
        <v>15</v>
      </c>
      <c r="I118" s="1072" t="s">
        <v>16</v>
      </c>
      <c r="J118" s="1072" t="s">
        <v>17</v>
      </c>
      <c r="K118" s="1059" t="s">
        <v>18</v>
      </c>
      <c r="L118" s="1048"/>
      <c r="M118" s="1074" t="s">
        <v>74</v>
      </c>
      <c r="N118" s="1075" t="s">
        <v>15</v>
      </c>
      <c r="O118" s="1076" t="s">
        <v>16</v>
      </c>
      <c r="P118" s="1076" t="s">
        <v>17</v>
      </c>
      <c r="Q118" s="1077" t="s">
        <v>18</v>
      </c>
      <c r="R118" s="1078"/>
      <c r="S118" s="1074" t="s">
        <v>613</v>
      </c>
      <c r="T118" s="1079" t="s">
        <v>15</v>
      </c>
      <c r="U118" s="1080" t="s">
        <v>16</v>
      </c>
      <c r="V118" s="1080" t="s">
        <v>17</v>
      </c>
      <c r="W118" s="1081" t="s">
        <v>18</v>
      </c>
      <c r="X118" s="162"/>
    </row>
    <row r="119" spans="1:24" ht="15" hidden="1" thickBot="1">
      <c r="A119" s="1082">
        <v>0</v>
      </c>
      <c r="B119" s="1083">
        <v>0</v>
      </c>
      <c r="C119" s="1083">
        <v>0</v>
      </c>
      <c r="D119" s="1083">
        <v>0</v>
      </c>
      <c r="E119" s="1083">
        <v>0</v>
      </c>
      <c r="F119" s="1048"/>
      <c r="G119" s="1082">
        <v>0</v>
      </c>
      <c r="H119" s="1083">
        <v>0</v>
      </c>
      <c r="I119" s="1083">
        <v>0</v>
      </c>
      <c r="J119" s="1083">
        <v>0</v>
      </c>
      <c r="K119" s="1083">
        <v>0</v>
      </c>
      <c r="L119" s="1048"/>
      <c r="M119" s="1082">
        <v>0</v>
      </c>
      <c r="N119" s="1083">
        <v>0</v>
      </c>
      <c r="O119" s="1083">
        <v>0</v>
      </c>
      <c r="P119" s="1083">
        <v>0</v>
      </c>
      <c r="Q119" s="1083">
        <v>0</v>
      </c>
      <c r="R119" s="1078"/>
      <c r="S119" s="1082">
        <v>0</v>
      </c>
      <c r="T119" s="1083">
        <v>0</v>
      </c>
      <c r="U119" s="1083">
        <v>0</v>
      </c>
      <c r="V119" s="1083">
        <v>0</v>
      </c>
      <c r="W119" s="1083">
        <v>0</v>
      </c>
      <c r="X119" s="162"/>
    </row>
    <row r="120" spans="1:24" ht="14.4" hidden="1">
      <c r="A120" s="1082">
        <v>3000</v>
      </c>
      <c r="B120" s="1084">
        <v>5.76</v>
      </c>
      <c r="C120" s="1084">
        <v>8.64</v>
      </c>
      <c r="D120" s="1084">
        <v>11.52</v>
      </c>
      <c r="E120" s="1085">
        <v>17.28</v>
      </c>
      <c r="F120" s="1048"/>
      <c r="G120" s="1082">
        <v>3000</v>
      </c>
      <c r="H120" s="1084">
        <v>6.84</v>
      </c>
      <c r="I120" s="1084">
        <v>10.32</v>
      </c>
      <c r="J120" s="1084">
        <v>13.68</v>
      </c>
      <c r="K120" s="1084">
        <v>20.52</v>
      </c>
      <c r="L120" s="1048"/>
      <c r="M120" s="1082">
        <v>3000</v>
      </c>
      <c r="N120" s="1084">
        <v>11.52</v>
      </c>
      <c r="O120" s="1084">
        <v>17.28</v>
      </c>
      <c r="P120" s="1086">
        <v>23.04</v>
      </c>
      <c r="Q120" s="1085">
        <v>34.56</v>
      </c>
      <c r="R120" s="1087"/>
      <c r="S120" s="1082">
        <v>3000</v>
      </c>
      <c r="T120" s="1088">
        <v>1.8</v>
      </c>
      <c r="U120" s="1088">
        <v>2.76</v>
      </c>
      <c r="V120" s="1088">
        <v>3.6</v>
      </c>
      <c r="W120" s="1088">
        <v>5.4</v>
      </c>
      <c r="X120" s="162"/>
    </row>
    <row r="121" spans="1:24" ht="14.4" hidden="1">
      <c r="A121" s="1089">
        <v>5000</v>
      </c>
      <c r="B121" s="1084">
        <v>9.6</v>
      </c>
      <c r="C121" s="1084">
        <v>14.4</v>
      </c>
      <c r="D121" s="1084">
        <v>19.2</v>
      </c>
      <c r="E121" s="1085">
        <v>28.8</v>
      </c>
      <c r="F121" s="1048"/>
      <c r="G121" s="1089">
        <v>5000</v>
      </c>
      <c r="H121" s="1084">
        <v>11.4</v>
      </c>
      <c r="I121" s="1084">
        <v>17.16</v>
      </c>
      <c r="J121" s="1084">
        <v>22.8</v>
      </c>
      <c r="K121" s="1084">
        <v>34.200000000000003</v>
      </c>
      <c r="L121" s="1048"/>
      <c r="M121" s="1089">
        <v>5000</v>
      </c>
      <c r="N121" s="1084">
        <v>19.2</v>
      </c>
      <c r="O121" s="1084">
        <v>28.8</v>
      </c>
      <c r="P121" s="1084">
        <v>38.4</v>
      </c>
      <c r="Q121" s="1085">
        <v>57.6</v>
      </c>
      <c r="R121" s="1087"/>
      <c r="S121" s="1089">
        <v>5000</v>
      </c>
      <c r="T121" s="1088">
        <v>3</v>
      </c>
      <c r="U121" s="1088">
        <v>4.5599999999999996</v>
      </c>
      <c r="V121" s="1088">
        <v>6</v>
      </c>
      <c r="W121" s="1088">
        <v>9</v>
      </c>
      <c r="X121" s="162"/>
    </row>
    <row r="122" spans="1:24" ht="14.4" hidden="1">
      <c r="A122" s="1089">
        <v>7000</v>
      </c>
      <c r="B122" s="1084">
        <v>13.44</v>
      </c>
      <c r="C122" s="1084">
        <v>20.16</v>
      </c>
      <c r="D122" s="1084">
        <v>26.88</v>
      </c>
      <c r="E122" s="1085">
        <v>40.32</v>
      </c>
      <c r="F122" s="1048"/>
      <c r="G122" s="1089">
        <v>7000</v>
      </c>
      <c r="H122" s="1084">
        <v>15.96</v>
      </c>
      <c r="I122" s="1084">
        <v>24</v>
      </c>
      <c r="J122" s="1084">
        <v>31.92</v>
      </c>
      <c r="K122" s="1084">
        <v>47.88</v>
      </c>
      <c r="L122" s="1048"/>
      <c r="M122" s="1089">
        <v>7000</v>
      </c>
      <c r="N122" s="1084">
        <v>26.88</v>
      </c>
      <c r="O122" s="1084">
        <v>40.32</v>
      </c>
      <c r="P122" s="1084">
        <v>53.76</v>
      </c>
      <c r="Q122" s="1085">
        <v>80.64</v>
      </c>
      <c r="R122" s="1087"/>
      <c r="S122" s="1089">
        <v>7000</v>
      </c>
      <c r="T122" s="1088">
        <v>4.2</v>
      </c>
      <c r="U122" s="1088">
        <v>6.36</v>
      </c>
      <c r="V122" s="1088">
        <v>8.4</v>
      </c>
      <c r="W122" s="1088">
        <v>12.6</v>
      </c>
      <c r="X122" s="162"/>
    </row>
    <row r="123" spans="1:24" ht="14.4" hidden="1">
      <c r="A123" s="1089">
        <v>9000</v>
      </c>
      <c r="B123" s="1084">
        <v>17.28</v>
      </c>
      <c r="C123" s="1084">
        <v>25.92</v>
      </c>
      <c r="D123" s="1084">
        <v>34.56</v>
      </c>
      <c r="E123" s="1085">
        <v>51.84</v>
      </c>
      <c r="F123" s="1048"/>
      <c r="G123" s="1089">
        <v>9000</v>
      </c>
      <c r="H123" s="1084">
        <v>20.52</v>
      </c>
      <c r="I123" s="1084">
        <v>30.84</v>
      </c>
      <c r="J123" s="1084">
        <v>41.04</v>
      </c>
      <c r="K123" s="1084">
        <v>61.56</v>
      </c>
      <c r="L123" s="1048"/>
      <c r="M123" s="1089">
        <v>9000</v>
      </c>
      <c r="N123" s="1084">
        <v>34.56</v>
      </c>
      <c r="O123" s="1084">
        <v>51.84</v>
      </c>
      <c r="P123" s="1084">
        <v>69.12</v>
      </c>
      <c r="Q123" s="1085">
        <v>103.68</v>
      </c>
      <c r="R123" s="1087"/>
      <c r="S123" s="1089">
        <v>9000</v>
      </c>
      <c r="T123" s="1088">
        <v>5.4</v>
      </c>
      <c r="U123" s="1088">
        <v>8.16</v>
      </c>
      <c r="V123" s="1088">
        <v>10.8</v>
      </c>
      <c r="W123" s="1088">
        <v>16.2</v>
      </c>
      <c r="X123" s="162"/>
    </row>
    <row r="124" spans="1:24" ht="14.4" hidden="1">
      <c r="A124" s="1089">
        <v>11000</v>
      </c>
      <c r="B124" s="1084">
        <v>21.12</v>
      </c>
      <c r="C124" s="1084">
        <v>31.68</v>
      </c>
      <c r="D124" s="1084">
        <v>42.24</v>
      </c>
      <c r="E124" s="1085">
        <v>63.36</v>
      </c>
      <c r="F124" s="1048"/>
      <c r="G124" s="1089">
        <v>11000</v>
      </c>
      <c r="H124" s="1084">
        <v>25.08</v>
      </c>
      <c r="I124" s="1084">
        <v>37.68</v>
      </c>
      <c r="J124" s="1084">
        <v>50.16</v>
      </c>
      <c r="K124" s="1084">
        <v>75.239999999999995</v>
      </c>
      <c r="L124" s="1048"/>
      <c r="M124" s="1089">
        <v>11000</v>
      </c>
      <c r="N124" s="1084">
        <v>42.24</v>
      </c>
      <c r="O124" s="1084">
        <v>63.36</v>
      </c>
      <c r="P124" s="1084">
        <v>84.48</v>
      </c>
      <c r="Q124" s="1085">
        <v>126.72</v>
      </c>
      <c r="R124" s="1087"/>
      <c r="S124" s="1089">
        <v>11000</v>
      </c>
      <c r="T124" s="1088">
        <v>6.6</v>
      </c>
      <c r="U124" s="1088">
        <v>9.9600000000000009</v>
      </c>
      <c r="V124" s="1088">
        <v>13.2</v>
      </c>
      <c r="W124" s="1088">
        <v>19.8</v>
      </c>
      <c r="X124" s="162"/>
    </row>
    <row r="125" spans="1:24" ht="14.4" hidden="1">
      <c r="A125" s="1089">
        <v>13000</v>
      </c>
      <c r="B125" s="1084">
        <v>24.96</v>
      </c>
      <c r="C125" s="1084">
        <v>37.44</v>
      </c>
      <c r="D125" s="1084">
        <v>49.92</v>
      </c>
      <c r="E125" s="1085">
        <v>74.88</v>
      </c>
      <c r="F125" s="1048"/>
      <c r="G125" s="1089">
        <v>13000</v>
      </c>
      <c r="H125" s="1084">
        <v>29.64</v>
      </c>
      <c r="I125" s="1084">
        <v>44.52</v>
      </c>
      <c r="J125" s="1084">
        <v>59.28</v>
      </c>
      <c r="K125" s="1084">
        <v>88.92</v>
      </c>
      <c r="L125" s="1048"/>
      <c r="M125" s="1089">
        <v>13000</v>
      </c>
      <c r="N125" s="1084">
        <v>49.92</v>
      </c>
      <c r="O125" s="1084">
        <v>74.88</v>
      </c>
      <c r="P125" s="1084">
        <v>99.84</v>
      </c>
      <c r="Q125" s="1085">
        <v>149.76</v>
      </c>
      <c r="R125" s="1087"/>
      <c r="S125" s="1089">
        <v>13000</v>
      </c>
      <c r="T125" s="1088">
        <v>7.8</v>
      </c>
      <c r="U125" s="1088">
        <v>11.76</v>
      </c>
      <c r="V125" s="1088">
        <v>15.6</v>
      </c>
      <c r="W125" s="1088">
        <v>23.4</v>
      </c>
      <c r="X125" s="162"/>
    </row>
    <row r="126" spans="1:24" ht="14.4" hidden="1">
      <c r="A126" s="1089">
        <v>15000</v>
      </c>
      <c r="B126" s="1084">
        <v>28.8</v>
      </c>
      <c r="C126" s="1084">
        <v>43.2</v>
      </c>
      <c r="D126" s="1084">
        <v>57.6</v>
      </c>
      <c r="E126" s="1085">
        <v>86.4</v>
      </c>
      <c r="F126" s="1048"/>
      <c r="G126" s="1089">
        <v>15000</v>
      </c>
      <c r="H126" s="1084">
        <v>34.200000000000003</v>
      </c>
      <c r="I126" s="1084">
        <v>51.36</v>
      </c>
      <c r="J126" s="1084">
        <v>68.400000000000006</v>
      </c>
      <c r="K126" s="1084">
        <v>102.6</v>
      </c>
      <c r="L126" s="1048"/>
      <c r="M126" s="1089">
        <v>15000</v>
      </c>
      <c r="N126" s="1084">
        <v>57.6</v>
      </c>
      <c r="O126" s="1084">
        <v>86.4</v>
      </c>
      <c r="P126" s="1084">
        <v>115.2</v>
      </c>
      <c r="Q126" s="1085">
        <v>172.8</v>
      </c>
      <c r="R126" s="1087"/>
      <c r="S126" s="1089">
        <v>15000</v>
      </c>
      <c r="T126" s="1088">
        <v>9</v>
      </c>
      <c r="U126" s="1088">
        <v>13.56</v>
      </c>
      <c r="V126" s="1088">
        <v>18</v>
      </c>
      <c r="W126" s="1088">
        <v>27</v>
      </c>
      <c r="X126" s="162"/>
    </row>
    <row r="127" spans="1:24" ht="14.4" hidden="1">
      <c r="A127" s="1089">
        <v>17000</v>
      </c>
      <c r="B127" s="1084">
        <v>32.64</v>
      </c>
      <c r="C127" s="1084">
        <v>48.96</v>
      </c>
      <c r="D127" s="1084">
        <v>65.28</v>
      </c>
      <c r="E127" s="1085">
        <v>97.92</v>
      </c>
      <c r="F127" s="1048"/>
      <c r="G127" s="1089">
        <v>17000</v>
      </c>
      <c r="H127" s="1084">
        <v>38.76</v>
      </c>
      <c r="I127" s="1084">
        <v>58.2</v>
      </c>
      <c r="J127" s="1084">
        <v>77.52</v>
      </c>
      <c r="K127" s="1084">
        <v>116.28</v>
      </c>
      <c r="L127" s="1048"/>
      <c r="M127" s="1089">
        <v>17000</v>
      </c>
      <c r="N127" s="1084">
        <v>65.28</v>
      </c>
      <c r="O127" s="1084">
        <v>97.92</v>
      </c>
      <c r="P127" s="1084">
        <v>130.56</v>
      </c>
      <c r="Q127" s="1085">
        <v>195.84</v>
      </c>
      <c r="R127" s="1087"/>
      <c r="S127" s="1089">
        <v>17000</v>
      </c>
      <c r="T127" s="1088">
        <v>10.199999999999999</v>
      </c>
      <c r="U127" s="1088">
        <v>15.36</v>
      </c>
      <c r="V127" s="1088">
        <v>20.399999999999999</v>
      </c>
      <c r="W127" s="1088">
        <v>30.6</v>
      </c>
      <c r="X127" s="162"/>
    </row>
    <row r="128" spans="1:24" ht="14.4" hidden="1">
      <c r="A128" s="1089">
        <v>19000</v>
      </c>
      <c r="B128" s="1084">
        <v>36.479999999999997</v>
      </c>
      <c r="C128" s="1084">
        <v>54.72</v>
      </c>
      <c r="D128" s="1084">
        <v>72.959999999999994</v>
      </c>
      <c r="E128" s="1085">
        <v>109.44</v>
      </c>
      <c r="F128" s="1048"/>
      <c r="G128" s="1089">
        <v>19000</v>
      </c>
      <c r="H128" s="1084">
        <v>43.32</v>
      </c>
      <c r="I128" s="1084">
        <v>65.040000000000006</v>
      </c>
      <c r="J128" s="1084">
        <v>86.64</v>
      </c>
      <c r="K128" s="1084">
        <v>129.96</v>
      </c>
      <c r="L128" s="1048"/>
      <c r="M128" s="1089">
        <v>19000</v>
      </c>
      <c r="N128" s="1084">
        <v>72.959999999999994</v>
      </c>
      <c r="O128" s="1084">
        <v>109.44</v>
      </c>
      <c r="P128" s="1084">
        <v>145.91999999999999</v>
      </c>
      <c r="Q128" s="1085">
        <v>218.88</v>
      </c>
      <c r="R128" s="1087"/>
      <c r="S128" s="1089">
        <v>19000</v>
      </c>
      <c r="T128" s="1088">
        <v>11.4</v>
      </c>
      <c r="U128" s="1088">
        <v>17.16</v>
      </c>
      <c r="V128" s="1088">
        <v>22.8</v>
      </c>
      <c r="W128" s="1088">
        <v>34.200000000000003</v>
      </c>
      <c r="X128" s="162"/>
    </row>
    <row r="129" spans="1:24" ht="14.4" hidden="1">
      <c r="A129" s="1089">
        <v>21000</v>
      </c>
      <c r="B129" s="1084">
        <v>40.32</v>
      </c>
      <c r="C129" s="1084">
        <v>60.48</v>
      </c>
      <c r="D129" s="1084">
        <v>80.64</v>
      </c>
      <c r="E129" s="1085">
        <v>120.96</v>
      </c>
      <c r="F129" s="1048"/>
      <c r="G129" s="1089">
        <v>21000</v>
      </c>
      <c r="H129" s="1084">
        <v>47.88</v>
      </c>
      <c r="I129" s="1084">
        <v>71.88</v>
      </c>
      <c r="J129" s="1084">
        <v>95.76</v>
      </c>
      <c r="K129" s="1084">
        <v>143.63999999999999</v>
      </c>
      <c r="L129" s="1048"/>
      <c r="M129" s="1089">
        <v>21000</v>
      </c>
      <c r="N129" s="1084">
        <v>80.64</v>
      </c>
      <c r="O129" s="1084">
        <v>120.96</v>
      </c>
      <c r="P129" s="1084">
        <v>161.28</v>
      </c>
      <c r="Q129" s="1085">
        <v>241.92</v>
      </c>
      <c r="R129" s="1087"/>
      <c r="S129" s="1089">
        <v>21000</v>
      </c>
      <c r="T129" s="1088">
        <v>12.6</v>
      </c>
      <c r="U129" s="1088">
        <v>18.96</v>
      </c>
      <c r="V129" s="1088">
        <v>25.2</v>
      </c>
      <c r="W129" s="1088">
        <v>37.799999999999997</v>
      </c>
      <c r="X129" s="162"/>
    </row>
    <row r="130" spans="1:24" ht="14.4" hidden="1">
      <c r="A130" s="1089">
        <v>23000</v>
      </c>
      <c r="B130" s="1084">
        <v>44.16</v>
      </c>
      <c r="C130" s="1084">
        <v>66.239999999999995</v>
      </c>
      <c r="D130" s="1084">
        <v>88.32</v>
      </c>
      <c r="E130" s="1085">
        <v>132.47999999999999</v>
      </c>
      <c r="F130" s="1048"/>
      <c r="G130" s="1089">
        <v>23000</v>
      </c>
      <c r="H130" s="1084">
        <v>52.44</v>
      </c>
      <c r="I130" s="1084">
        <v>78.72</v>
      </c>
      <c r="J130" s="1084">
        <v>104.88</v>
      </c>
      <c r="K130" s="1084">
        <v>157.32</v>
      </c>
      <c r="L130" s="1048"/>
      <c r="M130" s="1089">
        <v>23000</v>
      </c>
      <c r="N130" s="1084">
        <v>88.32</v>
      </c>
      <c r="O130" s="1084">
        <v>132.47999999999999</v>
      </c>
      <c r="P130" s="1084">
        <v>176.64</v>
      </c>
      <c r="Q130" s="1085">
        <v>264.95999999999998</v>
      </c>
      <c r="R130" s="1087"/>
      <c r="S130" s="1089">
        <v>23000</v>
      </c>
      <c r="T130" s="1088">
        <v>13.8</v>
      </c>
      <c r="U130" s="1088">
        <v>20.76</v>
      </c>
      <c r="V130" s="1088">
        <v>27.6</v>
      </c>
      <c r="W130" s="1088">
        <v>41.4</v>
      </c>
      <c r="X130" s="162"/>
    </row>
    <row r="131" spans="1:24" ht="14.4" hidden="1">
      <c r="A131" s="1089">
        <v>25000</v>
      </c>
      <c r="B131" s="1084">
        <v>48</v>
      </c>
      <c r="C131" s="1084">
        <v>72</v>
      </c>
      <c r="D131" s="1084">
        <v>96</v>
      </c>
      <c r="E131" s="1085">
        <v>144</v>
      </c>
      <c r="F131" s="1048"/>
      <c r="G131" s="1089">
        <v>25000</v>
      </c>
      <c r="H131" s="1084">
        <v>57</v>
      </c>
      <c r="I131" s="1084">
        <v>85.56</v>
      </c>
      <c r="J131" s="1084">
        <v>114</v>
      </c>
      <c r="K131" s="1084">
        <v>171</v>
      </c>
      <c r="L131" s="1048"/>
      <c r="M131" s="1089">
        <v>25000</v>
      </c>
      <c r="N131" s="1084">
        <v>96</v>
      </c>
      <c r="O131" s="1084">
        <v>144</v>
      </c>
      <c r="P131" s="1084">
        <v>192</v>
      </c>
      <c r="Q131" s="1085">
        <v>288</v>
      </c>
      <c r="R131" s="1087"/>
      <c r="S131" s="1089">
        <v>25000</v>
      </c>
      <c r="T131" s="1088">
        <v>15</v>
      </c>
      <c r="U131" s="1088">
        <v>22.56</v>
      </c>
      <c r="V131" s="1088">
        <v>30</v>
      </c>
      <c r="W131" s="1088">
        <v>45</v>
      </c>
      <c r="X131" s="162"/>
    </row>
    <row r="132" spans="1:24" ht="14.4" hidden="1">
      <c r="A132" s="1089">
        <v>27000</v>
      </c>
      <c r="B132" s="1084">
        <v>51.84</v>
      </c>
      <c r="C132" s="1084">
        <v>77.760000000000005</v>
      </c>
      <c r="D132" s="1084">
        <v>103.68</v>
      </c>
      <c r="E132" s="1085">
        <v>155.52000000000001</v>
      </c>
      <c r="F132" s="1048"/>
      <c r="G132" s="1089">
        <v>27000</v>
      </c>
      <c r="H132" s="1084">
        <v>61.56</v>
      </c>
      <c r="I132" s="1084">
        <v>92.4</v>
      </c>
      <c r="J132" s="1084">
        <v>123.12</v>
      </c>
      <c r="K132" s="1084">
        <v>184.68</v>
      </c>
      <c r="L132" s="1048"/>
      <c r="M132" s="1089">
        <v>27000</v>
      </c>
      <c r="N132" s="1084">
        <v>103.68</v>
      </c>
      <c r="O132" s="1084">
        <v>155.52000000000001</v>
      </c>
      <c r="P132" s="1084">
        <v>207.36</v>
      </c>
      <c r="Q132" s="1085">
        <v>311.04000000000002</v>
      </c>
      <c r="R132" s="1087"/>
      <c r="S132" s="1089">
        <v>27000</v>
      </c>
      <c r="T132" s="1088">
        <v>16.2</v>
      </c>
      <c r="U132" s="1088">
        <v>24.36</v>
      </c>
      <c r="V132" s="1088">
        <v>32.4</v>
      </c>
      <c r="W132" s="1088">
        <v>48.6</v>
      </c>
      <c r="X132" s="162"/>
    </row>
    <row r="133" spans="1:24" ht="14.4" hidden="1">
      <c r="A133" s="1089">
        <v>29000</v>
      </c>
      <c r="B133" s="1084">
        <v>55.68</v>
      </c>
      <c r="C133" s="1084">
        <v>83.52</v>
      </c>
      <c r="D133" s="1084">
        <v>111.36</v>
      </c>
      <c r="E133" s="1085">
        <v>167.04</v>
      </c>
      <c r="F133" s="1048"/>
      <c r="G133" s="1089">
        <v>29000</v>
      </c>
      <c r="H133" s="1084">
        <v>66.12</v>
      </c>
      <c r="I133" s="1084">
        <v>99.24</v>
      </c>
      <c r="J133" s="1084">
        <v>132.24</v>
      </c>
      <c r="K133" s="1084">
        <v>198.36</v>
      </c>
      <c r="L133" s="1048"/>
      <c r="M133" s="1089">
        <v>29000</v>
      </c>
      <c r="N133" s="1084">
        <v>111.36</v>
      </c>
      <c r="O133" s="1084">
        <v>167.04</v>
      </c>
      <c r="P133" s="1084">
        <v>222.72</v>
      </c>
      <c r="Q133" s="1085">
        <v>334.08</v>
      </c>
      <c r="R133" s="1087"/>
      <c r="S133" s="1089">
        <v>29000</v>
      </c>
      <c r="T133" s="1088">
        <v>17.399999999999999</v>
      </c>
      <c r="U133" s="1088">
        <v>26.16</v>
      </c>
      <c r="V133" s="1088">
        <v>34.799999999999997</v>
      </c>
      <c r="W133" s="1088">
        <v>52.2</v>
      </c>
      <c r="X133" s="162"/>
    </row>
    <row r="134" spans="1:24" ht="14.4" hidden="1">
      <c r="A134" s="1089">
        <v>31000</v>
      </c>
      <c r="B134" s="1084">
        <v>59.52</v>
      </c>
      <c r="C134" s="1084">
        <v>89.28</v>
      </c>
      <c r="D134" s="1084">
        <v>119.04</v>
      </c>
      <c r="E134" s="1085">
        <v>178.56</v>
      </c>
      <c r="F134" s="1048"/>
      <c r="G134" s="1089">
        <v>31000</v>
      </c>
      <c r="H134" s="1084">
        <v>70.680000000000007</v>
      </c>
      <c r="I134" s="1084">
        <v>106.08</v>
      </c>
      <c r="J134" s="1084">
        <v>141.36000000000001</v>
      </c>
      <c r="K134" s="1084">
        <v>212.04</v>
      </c>
      <c r="L134" s="1048"/>
      <c r="M134" s="1089">
        <v>31000</v>
      </c>
      <c r="N134" s="1084">
        <v>119.04</v>
      </c>
      <c r="O134" s="1084">
        <v>178.56</v>
      </c>
      <c r="P134" s="1084">
        <v>238.08</v>
      </c>
      <c r="Q134" s="1085">
        <v>357.12</v>
      </c>
      <c r="R134" s="1087"/>
      <c r="S134" s="1089">
        <v>31000</v>
      </c>
      <c r="T134" s="1088">
        <v>18.600000000000001</v>
      </c>
      <c r="U134" s="1088">
        <v>27.96</v>
      </c>
      <c r="V134" s="1088">
        <v>37.200000000000003</v>
      </c>
      <c r="W134" s="1088">
        <v>55.8</v>
      </c>
      <c r="X134" s="162"/>
    </row>
    <row r="135" spans="1:24" ht="14.4" hidden="1">
      <c r="A135" s="1089">
        <v>33000</v>
      </c>
      <c r="B135" s="1084">
        <v>63.36</v>
      </c>
      <c r="C135" s="1084">
        <v>95.04</v>
      </c>
      <c r="D135" s="1084">
        <v>126.72</v>
      </c>
      <c r="E135" s="1085">
        <v>190.08</v>
      </c>
      <c r="F135" s="1048"/>
      <c r="G135" s="1089">
        <v>33000</v>
      </c>
      <c r="H135" s="1084">
        <v>75.239999999999995</v>
      </c>
      <c r="I135" s="1084">
        <v>112.92</v>
      </c>
      <c r="J135" s="1084">
        <v>150.47999999999999</v>
      </c>
      <c r="K135" s="1084">
        <v>225.72</v>
      </c>
      <c r="L135" s="1048"/>
      <c r="M135" s="1089">
        <v>33000</v>
      </c>
      <c r="N135" s="1084">
        <v>126.72</v>
      </c>
      <c r="O135" s="1084">
        <v>190.08</v>
      </c>
      <c r="P135" s="1084">
        <v>253.44</v>
      </c>
      <c r="Q135" s="1085">
        <v>380.16</v>
      </c>
      <c r="R135" s="1087"/>
      <c r="S135" s="1089">
        <v>33000</v>
      </c>
      <c r="T135" s="1088">
        <v>19.8</v>
      </c>
      <c r="U135" s="1088">
        <v>29.76</v>
      </c>
      <c r="V135" s="1088">
        <v>39.6</v>
      </c>
      <c r="W135" s="1088">
        <v>59.4</v>
      </c>
      <c r="X135" s="162"/>
    </row>
    <row r="136" spans="1:24" ht="15" hidden="1" thickBot="1">
      <c r="A136" s="1089">
        <v>35000</v>
      </c>
      <c r="B136" s="1084">
        <v>67.2</v>
      </c>
      <c r="C136" s="1084">
        <v>100.8</v>
      </c>
      <c r="D136" s="1084">
        <v>134.4</v>
      </c>
      <c r="E136" s="1085">
        <v>201.6</v>
      </c>
      <c r="F136" s="1048"/>
      <c r="G136" s="1089">
        <v>35000</v>
      </c>
      <c r="H136" s="1084">
        <v>79.8</v>
      </c>
      <c r="I136" s="1084">
        <v>119.76</v>
      </c>
      <c r="J136" s="1084">
        <v>159.6</v>
      </c>
      <c r="K136" s="1084">
        <v>239.4</v>
      </c>
      <c r="L136" s="1048"/>
      <c r="M136" s="1090">
        <v>35000</v>
      </c>
      <c r="N136" s="1091">
        <v>134.4</v>
      </c>
      <c r="O136" s="1091">
        <v>201.6</v>
      </c>
      <c r="P136" s="1091">
        <v>268.8</v>
      </c>
      <c r="Q136" s="1092">
        <v>403.2</v>
      </c>
      <c r="R136" s="1087"/>
      <c r="S136" s="1093">
        <v>35000</v>
      </c>
      <c r="T136" s="1094">
        <v>21</v>
      </c>
      <c r="U136" s="1094">
        <v>31.56</v>
      </c>
      <c r="V136" s="1094">
        <v>42</v>
      </c>
      <c r="W136" s="1094">
        <v>63</v>
      </c>
      <c r="X136" s="162"/>
    </row>
    <row r="137" spans="1:24" ht="14.4" hidden="1">
      <c r="A137" s="1089">
        <v>37000</v>
      </c>
      <c r="B137" s="1084">
        <v>71.040000000000006</v>
      </c>
      <c r="C137" s="1084">
        <v>106.56</v>
      </c>
      <c r="D137" s="1084">
        <v>142.08000000000001</v>
      </c>
      <c r="E137" s="1085">
        <v>213.12</v>
      </c>
      <c r="F137" s="1048"/>
      <c r="G137" s="1089">
        <v>37000</v>
      </c>
      <c r="H137" s="1084">
        <v>84.36</v>
      </c>
      <c r="I137" s="1084">
        <v>126.6</v>
      </c>
      <c r="J137" s="1084">
        <v>168.72</v>
      </c>
      <c r="K137" s="1084">
        <v>253.08</v>
      </c>
      <c r="L137" s="1048"/>
      <c r="M137" s="1095"/>
      <c r="N137" s="1096"/>
      <c r="O137" s="1096"/>
      <c r="P137" s="1096"/>
      <c r="Q137" s="1096"/>
      <c r="R137" s="1087"/>
      <c r="S137" s="1089">
        <v>37000</v>
      </c>
      <c r="T137" s="1088">
        <v>22.2</v>
      </c>
      <c r="U137" s="1088">
        <v>33.36</v>
      </c>
      <c r="V137" s="1088">
        <v>44.4</v>
      </c>
      <c r="W137" s="1088">
        <v>66.599999999999994</v>
      </c>
      <c r="X137" s="162"/>
    </row>
    <row r="138" spans="1:24" ht="14.4" hidden="1">
      <c r="A138" s="1089">
        <v>39000</v>
      </c>
      <c r="B138" s="1084">
        <v>74.88</v>
      </c>
      <c r="C138" s="1084">
        <v>112.32</v>
      </c>
      <c r="D138" s="1084">
        <v>149.76</v>
      </c>
      <c r="E138" s="1085">
        <v>224.64</v>
      </c>
      <c r="F138" s="1048"/>
      <c r="G138" s="1089">
        <v>39000</v>
      </c>
      <c r="H138" s="1084">
        <v>88.92</v>
      </c>
      <c r="I138" s="1084">
        <v>133.44</v>
      </c>
      <c r="J138" s="1084">
        <v>177.84</v>
      </c>
      <c r="K138" s="1084">
        <v>266.76</v>
      </c>
      <c r="L138" s="1048"/>
      <c r="M138" s="1095"/>
      <c r="N138" s="1096"/>
      <c r="O138" s="1096"/>
      <c r="P138" s="1096"/>
      <c r="Q138" s="1096"/>
      <c r="R138" s="1087"/>
      <c r="S138" s="1089">
        <v>39000</v>
      </c>
      <c r="T138" s="1088">
        <v>23.4</v>
      </c>
      <c r="U138" s="1088">
        <v>35.159999999999997</v>
      </c>
      <c r="V138" s="1088">
        <v>46.8</v>
      </c>
      <c r="W138" s="1088">
        <v>70.2</v>
      </c>
      <c r="X138" s="162"/>
    </row>
    <row r="139" spans="1:24" ht="14.4" hidden="1">
      <c r="A139" s="1089">
        <v>41000</v>
      </c>
      <c r="B139" s="1084">
        <v>78.72</v>
      </c>
      <c r="C139" s="1084">
        <v>118.08</v>
      </c>
      <c r="D139" s="1084">
        <v>157.44</v>
      </c>
      <c r="E139" s="1085">
        <v>236.16</v>
      </c>
      <c r="F139" s="1048"/>
      <c r="G139" s="1089">
        <v>41000</v>
      </c>
      <c r="H139" s="1084">
        <v>93.48</v>
      </c>
      <c r="I139" s="1084">
        <v>140.28</v>
      </c>
      <c r="J139" s="1084">
        <v>186.96</v>
      </c>
      <c r="K139" s="1084">
        <v>280.44</v>
      </c>
      <c r="L139" s="1048"/>
      <c r="M139" s="1095"/>
      <c r="N139" s="1096"/>
      <c r="O139" s="1096"/>
      <c r="P139" s="1096"/>
      <c r="Q139" s="1096"/>
      <c r="R139" s="1087"/>
      <c r="S139" s="1089">
        <v>41000</v>
      </c>
      <c r="T139" s="1088">
        <v>24.6</v>
      </c>
      <c r="U139" s="1088">
        <v>36.96</v>
      </c>
      <c r="V139" s="1088">
        <v>49.2</v>
      </c>
      <c r="W139" s="1088">
        <v>73.8</v>
      </c>
      <c r="X139" s="162"/>
    </row>
    <row r="140" spans="1:24" ht="14.4" hidden="1">
      <c r="A140" s="1089">
        <v>43000</v>
      </c>
      <c r="B140" s="1084">
        <v>82.56</v>
      </c>
      <c r="C140" s="1084">
        <v>123.84</v>
      </c>
      <c r="D140" s="1084">
        <v>165.12</v>
      </c>
      <c r="E140" s="1085">
        <v>247.68</v>
      </c>
      <c r="F140" s="1048"/>
      <c r="G140" s="1089">
        <v>43000</v>
      </c>
      <c r="H140" s="1084">
        <v>98.04</v>
      </c>
      <c r="I140" s="1084">
        <v>147.12</v>
      </c>
      <c r="J140" s="1084">
        <v>196.08</v>
      </c>
      <c r="K140" s="1084">
        <v>294.12</v>
      </c>
      <c r="L140" s="1048"/>
      <c r="M140" s="1049"/>
      <c r="N140" s="1049"/>
      <c r="O140" s="1048"/>
      <c r="P140" s="1048"/>
      <c r="Q140" s="1048"/>
      <c r="R140" s="1087"/>
      <c r="S140" s="1089">
        <v>43000</v>
      </c>
      <c r="T140" s="1088">
        <v>25.8</v>
      </c>
      <c r="U140" s="1088">
        <v>38.76</v>
      </c>
      <c r="V140" s="1088">
        <v>51.6</v>
      </c>
      <c r="W140" s="1088">
        <v>77.400000000000006</v>
      </c>
      <c r="X140" s="162"/>
    </row>
    <row r="141" spans="1:24" ht="15" hidden="1" thickBot="1">
      <c r="A141" s="1089">
        <v>45000</v>
      </c>
      <c r="B141" s="1084">
        <v>86.4</v>
      </c>
      <c r="C141" s="1084">
        <v>129.6</v>
      </c>
      <c r="D141" s="1084">
        <v>172.8</v>
      </c>
      <c r="E141" s="1085">
        <v>259.2</v>
      </c>
      <c r="F141" s="1048"/>
      <c r="G141" s="1089">
        <v>45000</v>
      </c>
      <c r="H141" s="1084">
        <v>102.6</v>
      </c>
      <c r="I141" s="1084">
        <v>153.96</v>
      </c>
      <c r="J141" s="1084">
        <v>205.2</v>
      </c>
      <c r="K141" s="1084">
        <v>307.8</v>
      </c>
      <c r="L141" s="1048"/>
      <c r="M141" s="1052" t="s">
        <v>21</v>
      </c>
      <c r="N141" s="1049"/>
      <c r="O141" s="1048"/>
      <c r="P141" s="1048"/>
      <c r="Q141" s="1048"/>
      <c r="R141" s="1087"/>
      <c r="S141" s="1089">
        <v>45000</v>
      </c>
      <c r="T141" s="1088">
        <v>27</v>
      </c>
      <c r="U141" s="1088">
        <v>40.56</v>
      </c>
      <c r="V141" s="1088">
        <v>54</v>
      </c>
      <c r="W141" s="1088">
        <v>81</v>
      </c>
      <c r="X141" s="162"/>
    </row>
    <row r="142" spans="1:24" ht="15" hidden="1" thickBot="1">
      <c r="A142" s="1089">
        <v>47000</v>
      </c>
      <c r="B142" s="1084">
        <v>90.24</v>
      </c>
      <c r="C142" s="1084">
        <v>135.36000000000001</v>
      </c>
      <c r="D142" s="1084">
        <v>180.48</v>
      </c>
      <c r="E142" s="1085">
        <v>270.72000000000003</v>
      </c>
      <c r="F142" s="1048"/>
      <c r="G142" s="1089">
        <v>47000</v>
      </c>
      <c r="H142" s="1084">
        <v>107.16</v>
      </c>
      <c r="I142" s="1084">
        <v>160.80000000000001</v>
      </c>
      <c r="J142" s="1084">
        <v>214.32</v>
      </c>
      <c r="K142" s="1084">
        <v>321.48</v>
      </c>
      <c r="L142" s="1048"/>
      <c r="M142" s="1097"/>
      <c r="N142" s="1328" t="s">
        <v>612</v>
      </c>
      <c r="O142" s="1328"/>
      <c r="P142" s="1328"/>
      <c r="Q142" s="1066"/>
      <c r="R142" s="1087"/>
      <c r="S142" s="1089">
        <v>47000</v>
      </c>
      <c r="T142" s="1088">
        <v>28.2</v>
      </c>
      <c r="U142" s="1088">
        <v>42.36</v>
      </c>
      <c r="V142" s="1088">
        <v>56.4</v>
      </c>
      <c r="W142" s="1088">
        <v>84.6</v>
      </c>
      <c r="X142" s="162"/>
    </row>
    <row r="143" spans="1:24" ht="15" hidden="1" thickBot="1">
      <c r="A143" s="1089">
        <v>49000</v>
      </c>
      <c r="B143" s="1084">
        <v>94.08</v>
      </c>
      <c r="C143" s="1084">
        <v>141.12</v>
      </c>
      <c r="D143" s="1084">
        <v>188.16</v>
      </c>
      <c r="E143" s="1085">
        <v>282.24</v>
      </c>
      <c r="F143" s="1048"/>
      <c r="G143" s="1089">
        <v>49000</v>
      </c>
      <c r="H143" s="1084">
        <v>111.72</v>
      </c>
      <c r="I143" s="1084">
        <v>167.64</v>
      </c>
      <c r="J143" s="1084">
        <v>223.44</v>
      </c>
      <c r="K143" s="1084">
        <v>335.16</v>
      </c>
      <c r="L143" s="1048"/>
      <c r="M143" s="1098" t="s">
        <v>74</v>
      </c>
      <c r="N143" s="1080" t="s">
        <v>15</v>
      </c>
      <c r="O143" s="1080" t="s">
        <v>16</v>
      </c>
      <c r="P143" s="1080" t="s">
        <v>17</v>
      </c>
      <c r="Q143" s="1081" t="s">
        <v>18</v>
      </c>
      <c r="R143" s="1087"/>
      <c r="S143" s="1089">
        <v>49000</v>
      </c>
      <c r="T143" s="1088">
        <v>29.4</v>
      </c>
      <c r="U143" s="1088">
        <v>44.16</v>
      </c>
      <c r="V143" s="1088">
        <v>58.8</v>
      </c>
      <c r="W143" s="1088">
        <v>88.2</v>
      </c>
      <c r="X143" s="162"/>
    </row>
    <row r="144" spans="1:24" ht="15" hidden="1" thickBot="1">
      <c r="A144" s="1089">
        <v>51000</v>
      </c>
      <c r="B144" s="1084">
        <v>97.92</v>
      </c>
      <c r="C144" s="1084">
        <v>146.88</v>
      </c>
      <c r="D144" s="1084">
        <v>195.84</v>
      </c>
      <c r="E144" s="1085">
        <v>293.76</v>
      </c>
      <c r="F144" s="1048"/>
      <c r="G144" s="1089">
        <v>51000</v>
      </c>
      <c r="H144" s="1084">
        <v>116.28</v>
      </c>
      <c r="I144" s="1084">
        <v>174.48</v>
      </c>
      <c r="J144" s="1084">
        <v>232.56</v>
      </c>
      <c r="K144" s="1084">
        <v>348.84</v>
      </c>
      <c r="L144" s="1048"/>
      <c r="M144" s="1082">
        <v>0</v>
      </c>
      <c r="N144" s="1083">
        <v>0</v>
      </c>
      <c r="O144" s="1083">
        <v>0</v>
      </c>
      <c r="P144" s="1083">
        <v>0</v>
      </c>
      <c r="Q144" s="1083">
        <v>0</v>
      </c>
      <c r="R144" s="1087"/>
      <c r="S144" s="1089">
        <v>51000</v>
      </c>
      <c r="T144" s="1088">
        <v>30.6</v>
      </c>
      <c r="U144" s="1088">
        <v>45.96</v>
      </c>
      <c r="V144" s="1088">
        <v>61.2</v>
      </c>
      <c r="W144" s="1088">
        <v>91.8</v>
      </c>
      <c r="X144" s="162"/>
    </row>
    <row r="145" spans="1:24" ht="14.4" hidden="1">
      <c r="A145" s="1089">
        <v>53000</v>
      </c>
      <c r="B145" s="1084">
        <v>101.76</v>
      </c>
      <c r="C145" s="1084">
        <v>152.63999999999999</v>
      </c>
      <c r="D145" s="1084">
        <v>203.52</v>
      </c>
      <c r="E145" s="1085">
        <v>305.27999999999997</v>
      </c>
      <c r="F145" s="1048"/>
      <c r="G145" s="1089">
        <v>53000</v>
      </c>
      <c r="H145" s="1084">
        <v>120.84</v>
      </c>
      <c r="I145" s="1084">
        <v>181.32</v>
      </c>
      <c r="J145" s="1084">
        <v>241.68</v>
      </c>
      <c r="K145" s="1084">
        <v>362.52</v>
      </c>
      <c r="L145" s="1048"/>
      <c r="M145" s="1099">
        <v>16000</v>
      </c>
      <c r="N145" s="1100">
        <v>10.8</v>
      </c>
      <c r="O145" s="1088">
        <v>16.079999999999998</v>
      </c>
      <c r="P145" s="1088">
        <v>21.48</v>
      </c>
      <c r="Q145" s="1101">
        <v>32.28</v>
      </c>
      <c r="R145" s="1095"/>
      <c r="S145" s="1089">
        <v>53000</v>
      </c>
      <c r="T145" s="1088">
        <v>31.8</v>
      </c>
      <c r="U145" s="1088">
        <v>47.76</v>
      </c>
      <c r="V145" s="1088">
        <v>63.6</v>
      </c>
      <c r="W145" s="1088">
        <v>95.4</v>
      </c>
      <c r="X145" s="162"/>
    </row>
    <row r="146" spans="1:24" ht="14.4" hidden="1">
      <c r="A146" s="1089">
        <v>55000</v>
      </c>
      <c r="B146" s="1084">
        <v>105.6</v>
      </c>
      <c r="C146" s="1084">
        <v>158.4</v>
      </c>
      <c r="D146" s="1084">
        <v>211.2</v>
      </c>
      <c r="E146" s="1085">
        <v>316.8</v>
      </c>
      <c r="F146" s="1048"/>
      <c r="G146" s="1089">
        <v>55000</v>
      </c>
      <c r="H146" s="1084">
        <v>125.4</v>
      </c>
      <c r="I146" s="1084">
        <v>188.16</v>
      </c>
      <c r="J146" s="1084">
        <v>250.8</v>
      </c>
      <c r="K146" s="1084">
        <v>376.2</v>
      </c>
      <c r="L146" s="1048"/>
      <c r="M146" s="1099">
        <v>17000</v>
      </c>
      <c r="N146" s="1100">
        <v>11.4</v>
      </c>
      <c r="O146" s="1088">
        <v>17.16</v>
      </c>
      <c r="P146" s="1088">
        <v>22.8</v>
      </c>
      <c r="Q146" s="1102">
        <v>34.32</v>
      </c>
      <c r="R146" s="1095"/>
      <c r="S146" s="1089">
        <v>55000</v>
      </c>
      <c r="T146" s="1088">
        <v>33</v>
      </c>
      <c r="U146" s="1088">
        <v>49.56</v>
      </c>
      <c r="V146" s="1088">
        <v>66</v>
      </c>
      <c r="W146" s="1088">
        <v>99</v>
      </c>
      <c r="X146" s="162"/>
    </row>
    <row r="147" spans="1:24" ht="14.4" hidden="1">
      <c r="A147" s="1089">
        <v>57000</v>
      </c>
      <c r="B147" s="1084">
        <v>109.44</v>
      </c>
      <c r="C147" s="1084">
        <v>164.16</v>
      </c>
      <c r="D147" s="1084">
        <v>218.88</v>
      </c>
      <c r="E147" s="1085">
        <v>328.32</v>
      </c>
      <c r="F147" s="1048"/>
      <c r="G147" s="1089">
        <v>57000</v>
      </c>
      <c r="H147" s="1084">
        <v>129.96</v>
      </c>
      <c r="I147" s="1084">
        <v>195</v>
      </c>
      <c r="J147" s="1084">
        <v>259.92</v>
      </c>
      <c r="K147" s="1084">
        <v>389.88</v>
      </c>
      <c r="L147" s="1048"/>
      <c r="M147" s="1099">
        <v>18000</v>
      </c>
      <c r="N147" s="1100">
        <v>12.12</v>
      </c>
      <c r="O147" s="1088">
        <v>18.12</v>
      </c>
      <c r="P147" s="1088">
        <v>24.24</v>
      </c>
      <c r="Q147" s="1102">
        <v>36.24</v>
      </c>
      <c r="R147" s="1095"/>
      <c r="S147" s="1089">
        <v>57000</v>
      </c>
      <c r="T147" s="1088">
        <v>34.200000000000003</v>
      </c>
      <c r="U147" s="1088">
        <v>51.36</v>
      </c>
      <c r="V147" s="1088">
        <v>68.400000000000006</v>
      </c>
      <c r="W147" s="1088">
        <v>102.6</v>
      </c>
      <c r="X147" s="162"/>
    </row>
    <row r="148" spans="1:24" ht="14.4" hidden="1">
      <c r="A148" s="1089">
        <v>59000</v>
      </c>
      <c r="B148" s="1084">
        <v>113.28</v>
      </c>
      <c r="C148" s="1084">
        <v>169.92</v>
      </c>
      <c r="D148" s="1084">
        <v>226.56</v>
      </c>
      <c r="E148" s="1085">
        <v>339.84</v>
      </c>
      <c r="F148" s="1048"/>
      <c r="G148" s="1089">
        <v>59000</v>
      </c>
      <c r="H148" s="1084">
        <v>134.52000000000001</v>
      </c>
      <c r="I148" s="1084">
        <v>201.84</v>
      </c>
      <c r="J148" s="1084">
        <v>269.04000000000002</v>
      </c>
      <c r="K148" s="1084">
        <v>403.56</v>
      </c>
      <c r="L148" s="1048"/>
      <c r="M148" s="1099">
        <v>19000</v>
      </c>
      <c r="N148" s="1100">
        <v>12.72</v>
      </c>
      <c r="O148" s="1088">
        <v>19.2</v>
      </c>
      <c r="P148" s="1088">
        <v>25.56</v>
      </c>
      <c r="Q148" s="1102">
        <v>38.28</v>
      </c>
      <c r="R148" s="1095"/>
      <c r="S148" s="1089">
        <v>59000</v>
      </c>
      <c r="T148" s="1088">
        <v>35.4</v>
      </c>
      <c r="U148" s="1088">
        <v>53.16</v>
      </c>
      <c r="V148" s="1088">
        <v>70.8</v>
      </c>
      <c r="W148" s="1088">
        <v>106.2</v>
      </c>
      <c r="X148" s="162"/>
    </row>
    <row r="149" spans="1:24" ht="14.4" hidden="1">
      <c r="A149" s="1089">
        <v>61000</v>
      </c>
      <c r="B149" s="1084">
        <v>117.12</v>
      </c>
      <c r="C149" s="1084">
        <v>175.68</v>
      </c>
      <c r="D149" s="1084">
        <v>234.24</v>
      </c>
      <c r="E149" s="1085">
        <v>351.36</v>
      </c>
      <c r="F149" s="1048"/>
      <c r="G149" s="1089">
        <v>61000</v>
      </c>
      <c r="H149" s="1084">
        <v>139.08000000000001</v>
      </c>
      <c r="I149" s="1084">
        <v>208.68</v>
      </c>
      <c r="J149" s="1084">
        <v>278.16000000000003</v>
      </c>
      <c r="K149" s="1084">
        <v>417.24</v>
      </c>
      <c r="L149" s="1048"/>
      <c r="M149" s="1099">
        <v>20000</v>
      </c>
      <c r="N149" s="1100">
        <v>13.44</v>
      </c>
      <c r="O149" s="1088">
        <v>20.16</v>
      </c>
      <c r="P149" s="1088">
        <v>26.88</v>
      </c>
      <c r="Q149" s="1102">
        <v>40.32</v>
      </c>
      <c r="R149" s="1049"/>
      <c r="S149" s="1089">
        <v>61000</v>
      </c>
      <c r="T149" s="1088">
        <v>36.6</v>
      </c>
      <c r="U149" s="1088">
        <v>54.96</v>
      </c>
      <c r="V149" s="1088">
        <v>73.2</v>
      </c>
      <c r="W149" s="1088">
        <v>109.8</v>
      </c>
      <c r="X149" s="162"/>
    </row>
    <row r="150" spans="1:24" ht="14.4" hidden="1">
      <c r="A150" s="1089">
        <v>63000</v>
      </c>
      <c r="B150" s="1084">
        <v>120.96</v>
      </c>
      <c r="C150" s="1084">
        <v>181.44</v>
      </c>
      <c r="D150" s="1084">
        <v>241.92</v>
      </c>
      <c r="E150" s="1085">
        <v>362.88</v>
      </c>
      <c r="F150" s="1048"/>
      <c r="G150" s="1089">
        <v>63000</v>
      </c>
      <c r="H150" s="1084">
        <v>143.63999999999999</v>
      </c>
      <c r="I150" s="1084">
        <v>215.52</v>
      </c>
      <c r="J150" s="1084">
        <v>287.27999999999997</v>
      </c>
      <c r="K150" s="1084">
        <v>430.92</v>
      </c>
      <c r="L150" s="1048"/>
      <c r="M150" s="1099">
        <v>21000</v>
      </c>
      <c r="N150" s="1100">
        <v>14.16</v>
      </c>
      <c r="O150" s="1088">
        <v>21.12</v>
      </c>
      <c r="P150" s="1088">
        <v>28.2</v>
      </c>
      <c r="Q150" s="1102">
        <v>42.36</v>
      </c>
      <c r="R150" s="1049"/>
      <c r="S150" s="1089">
        <v>63000</v>
      </c>
      <c r="T150" s="1088">
        <v>37.799999999999997</v>
      </c>
      <c r="U150" s="1088">
        <v>56.76</v>
      </c>
      <c r="V150" s="1088">
        <v>75.599999999999994</v>
      </c>
      <c r="W150" s="1088">
        <v>113.4</v>
      </c>
      <c r="X150" s="162"/>
    </row>
    <row r="151" spans="1:24" ht="14.4" hidden="1">
      <c r="A151" s="1089">
        <v>65000</v>
      </c>
      <c r="B151" s="1084">
        <v>124.8</v>
      </c>
      <c r="C151" s="1084">
        <v>187.2</v>
      </c>
      <c r="D151" s="1084">
        <v>249.6</v>
      </c>
      <c r="E151" s="1085">
        <v>374.4</v>
      </c>
      <c r="F151" s="1048"/>
      <c r="G151" s="1089">
        <v>65000</v>
      </c>
      <c r="H151" s="1084">
        <v>148.19999999999999</v>
      </c>
      <c r="I151" s="1084">
        <v>222.36</v>
      </c>
      <c r="J151" s="1084">
        <v>296.39999999999998</v>
      </c>
      <c r="K151" s="1084">
        <v>444.6</v>
      </c>
      <c r="L151" s="1048"/>
      <c r="M151" s="1099">
        <v>22000</v>
      </c>
      <c r="N151" s="1100">
        <v>14.76</v>
      </c>
      <c r="O151" s="1088">
        <v>22.2</v>
      </c>
      <c r="P151" s="1088">
        <v>29.52</v>
      </c>
      <c r="Q151" s="1102">
        <v>44.4</v>
      </c>
      <c r="R151" s="1049"/>
      <c r="S151" s="1089">
        <v>65000</v>
      </c>
      <c r="T151" s="1088">
        <v>39</v>
      </c>
      <c r="U151" s="1088">
        <v>58.56</v>
      </c>
      <c r="V151" s="1088">
        <v>78</v>
      </c>
      <c r="W151" s="1088">
        <v>117</v>
      </c>
      <c r="X151" s="162"/>
    </row>
    <row r="152" spans="1:24" ht="14.4" hidden="1">
      <c r="A152" s="1089">
        <v>67000</v>
      </c>
      <c r="B152" s="1084">
        <v>128.63999999999999</v>
      </c>
      <c r="C152" s="1084">
        <v>192.96</v>
      </c>
      <c r="D152" s="1084">
        <v>257.27999999999997</v>
      </c>
      <c r="E152" s="1085">
        <v>385.92</v>
      </c>
      <c r="F152" s="1048"/>
      <c r="G152" s="1089">
        <v>67000</v>
      </c>
      <c r="H152" s="1084">
        <v>152.76</v>
      </c>
      <c r="I152" s="1084">
        <v>229.2</v>
      </c>
      <c r="J152" s="1084">
        <v>305.52</v>
      </c>
      <c r="K152" s="1084">
        <v>458.28</v>
      </c>
      <c r="L152" s="1048"/>
      <c r="M152" s="1099">
        <v>23000</v>
      </c>
      <c r="N152" s="1100">
        <v>15.48</v>
      </c>
      <c r="O152" s="1088">
        <v>23.16</v>
      </c>
      <c r="P152" s="1088">
        <v>30.96</v>
      </c>
      <c r="Q152" s="1102">
        <v>46.32</v>
      </c>
      <c r="R152" s="1048"/>
      <c r="S152" s="1089">
        <v>67000</v>
      </c>
      <c r="T152" s="1088">
        <v>40.200000000000003</v>
      </c>
      <c r="U152" s="1088">
        <v>60.36</v>
      </c>
      <c r="V152" s="1088">
        <v>80.400000000000006</v>
      </c>
      <c r="W152" s="1088">
        <v>120.6</v>
      </c>
      <c r="X152" s="162"/>
    </row>
    <row r="153" spans="1:24" ht="14.4" hidden="1">
      <c r="A153" s="1089">
        <v>69000</v>
      </c>
      <c r="B153" s="1084">
        <v>132.47999999999999</v>
      </c>
      <c r="C153" s="1084">
        <v>198.72</v>
      </c>
      <c r="D153" s="1084">
        <v>264.95999999999998</v>
      </c>
      <c r="E153" s="1085">
        <v>397.44</v>
      </c>
      <c r="F153" s="1048"/>
      <c r="G153" s="1089">
        <v>69000</v>
      </c>
      <c r="H153" s="1084">
        <v>157.32</v>
      </c>
      <c r="I153" s="1084">
        <v>236.04</v>
      </c>
      <c r="J153" s="1084">
        <v>314.64</v>
      </c>
      <c r="K153" s="1084">
        <v>471.96</v>
      </c>
      <c r="L153" s="1048"/>
      <c r="M153" s="1099">
        <v>24000</v>
      </c>
      <c r="N153" s="1100">
        <v>16.079999999999998</v>
      </c>
      <c r="O153" s="1088">
        <v>24.24</v>
      </c>
      <c r="P153" s="1088">
        <v>32.28</v>
      </c>
      <c r="Q153" s="1102">
        <v>48.36</v>
      </c>
      <c r="R153" s="1048"/>
      <c r="S153" s="1089">
        <v>69000</v>
      </c>
      <c r="T153" s="1088">
        <v>41.4</v>
      </c>
      <c r="U153" s="1088">
        <v>62.16</v>
      </c>
      <c r="V153" s="1088">
        <v>82.8</v>
      </c>
      <c r="W153" s="1088">
        <v>124.2</v>
      </c>
      <c r="X153" s="162"/>
    </row>
    <row r="154" spans="1:24" ht="14.4" hidden="1">
      <c r="A154" s="1089">
        <v>71000</v>
      </c>
      <c r="B154" s="1084">
        <v>136.32</v>
      </c>
      <c r="C154" s="1084">
        <v>204.48</v>
      </c>
      <c r="D154" s="1084">
        <v>272.64</v>
      </c>
      <c r="E154" s="1085">
        <v>408.96</v>
      </c>
      <c r="F154" s="1048"/>
      <c r="G154" s="1089">
        <v>71000</v>
      </c>
      <c r="H154" s="1084">
        <v>161.88</v>
      </c>
      <c r="I154" s="1084">
        <v>242.88</v>
      </c>
      <c r="J154" s="1084">
        <v>323.76</v>
      </c>
      <c r="K154" s="1084">
        <v>485.64</v>
      </c>
      <c r="L154" s="1048"/>
      <c r="M154" s="1099">
        <v>25000</v>
      </c>
      <c r="N154" s="1100">
        <v>16.8</v>
      </c>
      <c r="O154" s="1088">
        <v>25.2</v>
      </c>
      <c r="P154" s="1088">
        <v>33.6</v>
      </c>
      <c r="Q154" s="1102">
        <v>50.4</v>
      </c>
      <c r="R154" s="1048"/>
      <c r="S154" s="1089">
        <v>71000</v>
      </c>
      <c r="T154" s="1088">
        <v>42.6</v>
      </c>
      <c r="U154" s="1088">
        <v>63.96</v>
      </c>
      <c r="V154" s="1088">
        <v>85.2</v>
      </c>
      <c r="W154" s="1088">
        <v>127.8</v>
      </c>
      <c r="X154" s="162"/>
    </row>
    <row r="155" spans="1:24" ht="14.4" hidden="1">
      <c r="A155" s="1089">
        <v>73000</v>
      </c>
      <c r="B155" s="1084">
        <v>140.16</v>
      </c>
      <c r="C155" s="1084">
        <v>210.24</v>
      </c>
      <c r="D155" s="1084">
        <v>280.32</v>
      </c>
      <c r="E155" s="1085">
        <v>420.48</v>
      </c>
      <c r="F155" s="1048"/>
      <c r="G155" s="1089">
        <v>73000</v>
      </c>
      <c r="H155" s="1084">
        <v>166.44</v>
      </c>
      <c r="I155" s="1084">
        <v>249.72</v>
      </c>
      <c r="J155" s="1084">
        <v>332.88</v>
      </c>
      <c r="K155" s="1084">
        <v>499.32</v>
      </c>
      <c r="L155" s="1048"/>
      <c r="M155" s="1099">
        <v>26000</v>
      </c>
      <c r="N155" s="1100">
        <v>17.52</v>
      </c>
      <c r="O155" s="1088">
        <v>26.16</v>
      </c>
      <c r="P155" s="1088">
        <v>34.92</v>
      </c>
      <c r="Q155" s="1102">
        <v>52.44</v>
      </c>
      <c r="R155" s="1048"/>
      <c r="S155" s="1089">
        <v>73000</v>
      </c>
      <c r="T155" s="1088">
        <v>43.8</v>
      </c>
      <c r="U155" s="1088">
        <v>65.760000000000005</v>
      </c>
      <c r="V155" s="1088">
        <v>87.6</v>
      </c>
      <c r="W155" s="1088">
        <v>131.4</v>
      </c>
    </row>
    <row r="156" spans="1:24" ht="14.4" hidden="1">
      <c r="A156" s="1089">
        <v>75000</v>
      </c>
      <c r="B156" s="1084">
        <v>144</v>
      </c>
      <c r="C156" s="1084">
        <v>216</v>
      </c>
      <c r="D156" s="1084">
        <v>288</v>
      </c>
      <c r="E156" s="1085">
        <v>432</v>
      </c>
      <c r="F156" s="1048"/>
      <c r="G156" s="1089">
        <v>75000</v>
      </c>
      <c r="H156" s="1084">
        <v>171</v>
      </c>
      <c r="I156" s="1084">
        <v>256.56</v>
      </c>
      <c r="J156" s="1084">
        <v>342</v>
      </c>
      <c r="K156" s="1084">
        <v>513</v>
      </c>
      <c r="L156" s="1048"/>
      <c r="M156" s="1099">
        <v>27000</v>
      </c>
      <c r="N156" s="1100">
        <v>18.12</v>
      </c>
      <c r="O156" s="1088">
        <v>27.24</v>
      </c>
      <c r="P156" s="1088">
        <v>36.24</v>
      </c>
      <c r="Q156" s="1102">
        <v>54.48</v>
      </c>
      <c r="R156" s="1048"/>
      <c r="S156" s="1089">
        <v>75000</v>
      </c>
      <c r="T156" s="1088">
        <v>45</v>
      </c>
      <c r="U156" s="1088">
        <v>67.56</v>
      </c>
      <c r="V156" s="1088">
        <v>90</v>
      </c>
      <c r="W156" s="1088">
        <v>135</v>
      </c>
    </row>
    <row r="157" spans="1:24" ht="14.4" hidden="1">
      <c r="A157" s="1089">
        <v>77000</v>
      </c>
      <c r="B157" s="1084">
        <v>147.84</v>
      </c>
      <c r="C157" s="1084">
        <v>221.76</v>
      </c>
      <c r="D157" s="1084">
        <v>295.68</v>
      </c>
      <c r="E157" s="1085">
        <v>443.52</v>
      </c>
      <c r="F157" s="1048"/>
      <c r="G157" s="1089">
        <v>77000</v>
      </c>
      <c r="H157" s="1084">
        <v>175.56</v>
      </c>
      <c r="I157" s="1084">
        <v>263.39999999999998</v>
      </c>
      <c r="J157" s="1084">
        <v>351.12</v>
      </c>
      <c r="K157" s="1084">
        <v>526.67999999999995</v>
      </c>
      <c r="L157" s="1048"/>
      <c r="M157" s="1099">
        <v>28000</v>
      </c>
      <c r="N157" s="1100">
        <v>18.84</v>
      </c>
      <c r="O157" s="1088">
        <v>28.2</v>
      </c>
      <c r="P157" s="1088">
        <v>37.68</v>
      </c>
      <c r="Q157" s="1102">
        <v>56.4</v>
      </c>
      <c r="R157" s="1048"/>
      <c r="S157" s="1089">
        <v>77000</v>
      </c>
      <c r="T157" s="1088">
        <v>46.2</v>
      </c>
      <c r="U157" s="1088">
        <v>69.36</v>
      </c>
      <c r="V157" s="1088">
        <v>92.4</v>
      </c>
      <c r="W157" s="1088">
        <v>138.6</v>
      </c>
    </row>
    <row r="158" spans="1:24" ht="14.4" hidden="1">
      <c r="A158" s="1089">
        <v>79000</v>
      </c>
      <c r="B158" s="1084">
        <v>151.68</v>
      </c>
      <c r="C158" s="1084">
        <v>227.52</v>
      </c>
      <c r="D158" s="1084">
        <v>303.36</v>
      </c>
      <c r="E158" s="1085">
        <v>455.04</v>
      </c>
      <c r="F158" s="1048"/>
      <c r="G158" s="1089">
        <v>79000</v>
      </c>
      <c r="H158" s="1084">
        <v>180.12</v>
      </c>
      <c r="I158" s="1084">
        <v>270.24</v>
      </c>
      <c r="J158" s="1084">
        <v>360.24</v>
      </c>
      <c r="K158" s="1084">
        <v>540.36</v>
      </c>
      <c r="L158" s="1048"/>
      <c r="M158" s="1099">
        <v>29000</v>
      </c>
      <c r="N158" s="1100">
        <v>19.440000000000001</v>
      </c>
      <c r="O158" s="1088">
        <v>29.28</v>
      </c>
      <c r="P158" s="1088">
        <v>39</v>
      </c>
      <c r="Q158" s="1102">
        <v>58.44</v>
      </c>
      <c r="R158" s="1048"/>
      <c r="S158" s="1089">
        <v>79000</v>
      </c>
      <c r="T158" s="1088">
        <v>47.4</v>
      </c>
      <c r="U158" s="1088">
        <v>71.16</v>
      </c>
      <c r="V158" s="1088">
        <v>94.8</v>
      </c>
      <c r="W158" s="1088">
        <v>142.19999999999999</v>
      </c>
    </row>
    <row r="159" spans="1:24" ht="14.4" hidden="1">
      <c r="A159" s="1089">
        <v>81000</v>
      </c>
      <c r="B159" s="1084">
        <v>155.52000000000001</v>
      </c>
      <c r="C159" s="1084">
        <v>233.28</v>
      </c>
      <c r="D159" s="1084">
        <v>311.04000000000002</v>
      </c>
      <c r="E159" s="1085">
        <v>466.56</v>
      </c>
      <c r="F159" s="1048"/>
      <c r="G159" s="1089">
        <v>81000</v>
      </c>
      <c r="H159" s="1084">
        <v>184.68</v>
      </c>
      <c r="I159" s="1084">
        <v>277.08</v>
      </c>
      <c r="J159" s="1084">
        <v>369.36</v>
      </c>
      <c r="K159" s="1084">
        <v>554.04</v>
      </c>
      <c r="L159" s="1048"/>
      <c r="M159" s="1099">
        <v>30000</v>
      </c>
      <c r="N159" s="1100">
        <v>20.16</v>
      </c>
      <c r="O159" s="1088">
        <v>30.24</v>
      </c>
      <c r="P159" s="1088">
        <v>40.32</v>
      </c>
      <c r="Q159" s="1102">
        <v>60.48</v>
      </c>
      <c r="R159" s="1048"/>
      <c r="S159" s="1089">
        <v>81000</v>
      </c>
      <c r="T159" s="1088">
        <v>48.6</v>
      </c>
      <c r="U159" s="1088">
        <v>72.959999999999994</v>
      </c>
      <c r="V159" s="1088">
        <v>97.2</v>
      </c>
      <c r="W159" s="1088">
        <v>145.80000000000001</v>
      </c>
    </row>
    <row r="160" spans="1:24" ht="14.4" hidden="1">
      <c r="A160" s="1089">
        <v>83000</v>
      </c>
      <c r="B160" s="1084">
        <v>159.36000000000001</v>
      </c>
      <c r="C160" s="1084">
        <v>239.04</v>
      </c>
      <c r="D160" s="1084">
        <v>318.72000000000003</v>
      </c>
      <c r="E160" s="1085">
        <v>478.08</v>
      </c>
      <c r="F160" s="1048"/>
      <c r="G160" s="1089">
        <v>83000</v>
      </c>
      <c r="H160" s="1084">
        <v>189.24</v>
      </c>
      <c r="I160" s="1084">
        <v>283.92</v>
      </c>
      <c r="J160" s="1084">
        <v>378.48</v>
      </c>
      <c r="K160" s="1084">
        <v>567.72</v>
      </c>
      <c r="L160" s="1048"/>
      <c r="M160" s="1099">
        <v>31000</v>
      </c>
      <c r="N160" s="1100">
        <v>20.88</v>
      </c>
      <c r="O160" s="1088">
        <v>31.2</v>
      </c>
      <c r="P160" s="1088">
        <v>41.64</v>
      </c>
      <c r="Q160" s="1102">
        <v>62.52</v>
      </c>
      <c r="R160" s="1048"/>
      <c r="S160" s="1089">
        <v>83000</v>
      </c>
      <c r="T160" s="1088">
        <v>49.8</v>
      </c>
      <c r="U160" s="1088">
        <v>74.760000000000005</v>
      </c>
      <c r="V160" s="1088">
        <v>99.6</v>
      </c>
      <c r="W160" s="1088">
        <v>149.4</v>
      </c>
    </row>
    <row r="161" spans="1:23" ht="14.4" hidden="1">
      <c r="A161" s="1089">
        <v>85000</v>
      </c>
      <c r="B161" s="1084">
        <v>163.19999999999999</v>
      </c>
      <c r="C161" s="1084">
        <v>244.8</v>
      </c>
      <c r="D161" s="1084">
        <v>326.39999999999998</v>
      </c>
      <c r="E161" s="1085">
        <v>489.6</v>
      </c>
      <c r="F161" s="1048"/>
      <c r="G161" s="1089">
        <v>85000</v>
      </c>
      <c r="H161" s="1084">
        <v>193.8</v>
      </c>
      <c r="I161" s="1084">
        <v>290.76</v>
      </c>
      <c r="J161" s="1084">
        <v>387.6</v>
      </c>
      <c r="K161" s="1084">
        <v>581.4</v>
      </c>
      <c r="L161" s="1048"/>
      <c r="M161" s="1099">
        <v>32000</v>
      </c>
      <c r="N161" s="1100">
        <v>21.48</v>
      </c>
      <c r="O161" s="1088">
        <v>32.28</v>
      </c>
      <c r="P161" s="1088">
        <v>42.96</v>
      </c>
      <c r="Q161" s="1102">
        <v>64.56</v>
      </c>
      <c r="R161" s="1048"/>
      <c r="S161" s="1089">
        <v>85000</v>
      </c>
      <c r="T161" s="1088">
        <v>51</v>
      </c>
      <c r="U161" s="1088">
        <v>76.56</v>
      </c>
      <c r="V161" s="1088">
        <v>102</v>
      </c>
      <c r="W161" s="1088">
        <v>153</v>
      </c>
    </row>
    <row r="162" spans="1:23" ht="14.4" hidden="1">
      <c r="A162" s="1089">
        <v>87000</v>
      </c>
      <c r="B162" s="1084">
        <v>167.04</v>
      </c>
      <c r="C162" s="1084">
        <v>250.56</v>
      </c>
      <c r="D162" s="1084">
        <v>334.08</v>
      </c>
      <c r="E162" s="1085">
        <v>501.12</v>
      </c>
      <c r="F162" s="1048"/>
      <c r="G162" s="1089">
        <v>87000</v>
      </c>
      <c r="H162" s="1084">
        <v>198.36</v>
      </c>
      <c r="I162" s="1084">
        <v>297.60000000000002</v>
      </c>
      <c r="J162" s="1084">
        <v>396.72</v>
      </c>
      <c r="K162" s="1084">
        <v>595.08000000000004</v>
      </c>
      <c r="L162" s="1048"/>
      <c r="M162" s="1099">
        <v>33000</v>
      </c>
      <c r="N162" s="1100">
        <v>22.2</v>
      </c>
      <c r="O162" s="1088">
        <v>33.24</v>
      </c>
      <c r="P162" s="1088">
        <v>44.4</v>
      </c>
      <c r="Q162" s="1102">
        <v>66.48</v>
      </c>
      <c r="R162" s="1048"/>
      <c r="S162" s="1089">
        <v>87000</v>
      </c>
      <c r="T162" s="1088">
        <v>52.2</v>
      </c>
      <c r="U162" s="1088">
        <v>78.36</v>
      </c>
      <c r="V162" s="1088">
        <v>104.4</v>
      </c>
      <c r="W162" s="1088">
        <v>156.6</v>
      </c>
    </row>
    <row r="163" spans="1:23" ht="15" hidden="1" thickBot="1">
      <c r="A163" s="1089">
        <v>89000</v>
      </c>
      <c r="B163" s="1084">
        <v>170.88</v>
      </c>
      <c r="C163" s="1084">
        <v>256.32</v>
      </c>
      <c r="D163" s="1084">
        <v>341.76</v>
      </c>
      <c r="E163" s="1085">
        <v>512.64</v>
      </c>
      <c r="F163" s="1048"/>
      <c r="G163" s="1089">
        <v>89000</v>
      </c>
      <c r="H163" s="1084">
        <v>202.92</v>
      </c>
      <c r="I163" s="1084">
        <v>304.44</v>
      </c>
      <c r="J163" s="1084">
        <v>405.84</v>
      </c>
      <c r="K163" s="1084">
        <v>608.76</v>
      </c>
      <c r="L163" s="1048"/>
      <c r="M163" s="1103">
        <v>34000</v>
      </c>
      <c r="N163" s="1104">
        <v>22.8</v>
      </c>
      <c r="O163" s="1105">
        <v>34.32</v>
      </c>
      <c r="P163" s="1105">
        <v>45.72</v>
      </c>
      <c r="Q163" s="1106">
        <v>68.52</v>
      </c>
      <c r="R163" s="1048"/>
      <c r="S163" s="1089">
        <v>89000</v>
      </c>
      <c r="T163" s="1088">
        <v>53.4</v>
      </c>
      <c r="U163" s="1088">
        <v>80.16</v>
      </c>
      <c r="V163" s="1088">
        <v>106.8</v>
      </c>
      <c r="W163" s="1088">
        <v>160.19999999999999</v>
      </c>
    </row>
    <row r="164" spans="1:23" ht="14.4" hidden="1">
      <c r="A164" s="1089">
        <v>91000</v>
      </c>
      <c r="B164" s="1084">
        <v>174.72</v>
      </c>
      <c r="C164" s="1084">
        <v>262.08</v>
      </c>
      <c r="D164" s="1084">
        <v>349.44</v>
      </c>
      <c r="E164" s="1085">
        <v>524.16</v>
      </c>
      <c r="F164" s="1048"/>
      <c r="G164" s="1089">
        <v>91000</v>
      </c>
      <c r="H164" s="1084">
        <v>207.48</v>
      </c>
      <c r="I164" s="1084">
        <v>311.27999999999997</v>
      </c>
      <c r="J164" s="1084">
        <v>414.96</v>
      </c>
      <c r="K164" s="1084">
        <v>622.44000000000005</v>
      </c>
      <c r="L164" s="1048"/>
      <c r="M164" s="1095"/>
      <c r="N164" s="1096"/>
      <c r="O164" s="1096"/>
      <c r="P164" s="1096"/>
      <c r="Q164" s="1096"/>
      <c r="R164" s="1048"/>
      <c r="S164" s="1089">
        <v>91000</v>
      </c>
      <c r="T164" s="1088">
        <v>54.6</v>
      </c>
      <c r="U164" s="1088">
        <v>81.96</v>
      </c>
      <c r="V164" s="1088">
        <v>109.2</v>
      </c>
      <c r="W164" s="1088">
        <v>163.80000000000001</v>
      </c>
    </row>
    <row r="165" spans="1:23" ht="14.4" hidden="1">
      <c r="A165" s="1089">
        <v>93000</v>
      </c>
      <c r="B165" s="1084">
        <v>178.56</v>
      </c>
      <c r="C165" s="1084">
        <v>267.83999999999997</v>
      </c>
      <c r="D165" s="1084">
        <v>357.12</v>
      </c>
      <c r="E165" s="1085">
        <v>535.67999999999995</v>
      </c>
      <c r="F165" s="1048"/>
      <c r="G165" s="1089">
        <v>93000</v>
      </c>
      <c r="H165" s="1084">
        <v>212.04</v>
      </c>
      <c r="I165" s="1084">
        <v>318.12</v>
      </c>
      <c r="J165" s="1084">
        <v>424.08</v>
      </c>
      <c r="K165" s="1084">
        <v>636.12</v>
      </c>
      <c r="L165" s="1048"/>
      <c r="M165" s="1095"/>
      <c r="N165" s="1096"/>
      <c r="O165" s="1096"/>
      <c r="P165" s="1096"/>
      <c r="Q165" s="1096"/>
      <c r="R165" s="1048"/>
      <c r="S165" s="1089">
        <v>93000</v>
      </c>
      <c r="T165" s="1088">
        <v>55.8</v>
      </c>
      <c r="U165" s="1088">
        <v>83.76</v>
      </c>
      <c r="V165" s="1088">
        <v>111.6</v>
      </c>
      <c r="W165" s="1088">
        <v>167.4</v>
      </c>
    </row>
    <row r="166" spans="1:23" ht="14.4" hidden="1">
      <c r="A166" s="1089">
        <v>95000</v>
      </c>
      <c r="B166" s="1084">
        <v>182.4</v>
      </c>
      <c r="C166" s="1084">
        <v>273.60000000000002</v>
      </c>
      <c r="D166" s="1084">
        <v>364.8</v>
      </c>
      <c r="E166" s="1085">
        <v>547.20000000000005</v>
      </c>
      <c r="F166" s="1048"/>
      <c r="G166" s="1089">
        <v>95000</v>
      </c>
      <c r="H166" s="1084">
        <v>216.6</v>
      </c>
      <c r="I166" s="1084">
        <v>324.95999999999998</v>
      </c>
      <c r="J166" s="1084">
        <v>433.2</v>
      </c>
      <c r="K166" s="1084">
        <v>649.79999999999995</v>
      </c>
      <c r="L166" s="1048"/>
      <c r="M166" s="1095"/>
      <c r="N166" s="1096"/>
      <c r="O166" s="1096"/>
      <c r="P166" s="1096"/>
      <c r="Q166" s="1096"/>
      <c r="R166" s="1048"/>
      <c r="S166" s="1089">
        <v>95000</v>
      </c>
      <c r="T166" s="1088">
        <v>57</v>
      </c>
      <c r="U166" s="1088">
        <v>85.56</v>
      </c>
      <c r="V166" s="1088">
        <v>114</v>
      </c>
      <c r="W166" s="1088">
        <v>171</v>
      </c>
    </row>
    <row r="167" spans="1:23" ht="14.4" hidden="1">
      <c r="A167" s="1089">
        <v>97000</v>
      </c>
      <c r="B167" s="1084">
        <v>186.24</v>
      </c>
      <c r="C167" s="1084">
        <v>279.36</v>
      </c>
      <c r="D167" s="1084">
        <v>372.48</v>
      </c>
      <c r="E167" s="1085">
        <v>558.72</v>
      </c>
      <c r="F167" s="1048"/>
      <c r="G167" s="1089">
        <v>97000</v>
      </c>
      <c r="H167" s="1084">
        <v>221.16</v>
      </c>
      <c r="I167" s="1084">
        <v>331.8</v>
      </c>
      <c r="J167" s="1084">
        <v>442.32</v>
      </c>
      <c r="K167" s="1084">
        <v>663.48</v>
      </c>
      <c r="L167" s="1048"/>
      <c r="M167" s="1095"/>
      <c r="N167" s="1096"/>
      <c r="O167" s="1096"/>
      <c r="P167" s="1096"/>
      <c r="Q167" s="1096"/>
      <c r="R167" s="1048"/>
      <c r="S167" s="1089">
        <v>97000</v>
      </c>
      <c r="T167" s="1088">
        <v>58.2</v>
      </c>
      <c r="U167" s="1088">
        <v>87.36</v>
      </c>
      <c r="V167" s="1088">
        <v>116.4</v>
      </c>
      <c r="W167" s="1088">
        <v>174.6</v>
      </c>
    </row>
    <row r="168" spans="1:23" ht="14.4" hidden="1">
      <c r="A168" s="1089">
        <v>99000</v>
      </c>
      <c r="B168" s="1084">
        <v>190.08</v>
      </c>
      <c r="C168" s="1084">
        <v>285.12</v>
      </c>
      <c r="D168" s="1084">
        <v>380.16</v>
      </c>
      <c r="E168" s="1085">
        <v>570.24</v>
      </c>
      <c r="F168" s="1048"/>
      <c r="G168" s="1089">
        <v>99000</v>
      </c>
      <c r="H168" s="1084">
        <v>225.72</v>
      </c>
      <c r="I168" s="1084">
        <v>338.64</v>
      </c>
      <c r="J168" s="1084">
        <v>451.44</v>
      </c>
      <c r="K168" s="1084">
        <v>677.16</v>
      </c>
      <c r="L168" s="1048"/>
      <c r="M168" s="1095"/>
      <c r="N168" s="1096"/>
      <c r="O168" s="1096"/>
      <c r="P168" s="1096"/>
      <c r="Q168" s="1096"/>
      <c r="R168" s="1048"/>
      <c r="S168" s="1089">
        <v>99000</v>
      </c>
      <c r="T168" s="1088">
        <v>59.4</v>
      </c>
      <c r="U168" s="1088">
        <v>89.16</v>
      </c>
      <c r="V168" s="1088">
        <v>118.8</v>
      </c>
      <c r="W168" s="1088">
        <v>178.2</v>
      </c>
    </row>
    <row r="169" spans="1:23" ht="15" hidden="1" thickBot="1">
      <c r="A169" s="1090">
        <v>101000</v>
      </c>
      <c r="B169" s="1091">
        <v>193.92</v>
      </c>
      <c r="C169" s="1091">
        <v>290.88</v>
      </c>
      <c r="D169" s="1091">
        <v>387.84</v>
      </c>
      <c r="E169" s="1092">
        <v>581.76</v>
      </c>
      <c r="F169" s="1048"/>
      <c r="G169" s="1089">
        <v>101000</v>
      </c>
      <c r="H169" s="1084">
        <v>230.28</v>
      </c>
      <c r="I169" s="1084">
        <v>345.48</v>
      </c>
      <c r="J169" s="1084">
        <v>460.56</v>
      </c>
      <c r="K169" s="1084">
        <v>690.84</v>
      </c>
      <c r="L169" s="1048"/>
      <c r="M169" s="1095"/>
      <c r="N169" s="1096"/>
      <c r="O169" s="1096"/>
      <c r="P169" s="1096"/>
      <c r="Q169" s="1096"/>
      <c r="R169" s="1048"/>
      <c r="S169" s="1089">
        <v>101000</v>
      </c>
      <c r="T169" s="1088">
        <v>60.6</v>
      </c>
      <c r="U169" s="1088">
        <v>90.96</v>
      </c>
      <c r="V169" s="1088">
        <v>121.2</v>
      </c>
      <c r="W169" s="1088">
        <v>181.8</v>
      </c>
    </row>
    <row r="170" spans="1:23" ht="14.4" hidden="1">
      <c r="A170" s="1048"/>
      <c r="B170" s="1048"/>
      <c r="C170" s="1048"/>
      <c r="D170" s="1048"/>
      <c r="E170" s="1048"/>
      <c r="F170" s="1048"/>
      <c r="G170" s="1096"/>
      <c r="H170" s="1107"/>
      <c r="I170" s="1096"/>
      <c r="J170" s="1096"/>
      <c r="K170" s="1048"/>
      <c r="L170" s="1048"/>
      <c r="M170" s="1095"/>
      <c r="N170" s="1096"/>
      <c r="O170" s="1096"/>
      <c r="P170" s="1096"/>
      <c r="Q170" s="1096"/>
      <c r="R170" s="1048"/>
      <c r="S170" s="1089">
        <v>101000</v>
      </c>
      <c r="T170" s="1088">
        <v>60.6</v>
      </c>
      <c r="U170" s="1088">
        <v>90.96</v>
      </c>
      <c r="V170" s="1088">
        <v>121.2</v>
      </c>
      <c r="W170" s="1088">
        <v>181.8</v>
      </c>
    </row>
    <row r="171" spans="1:23" ht="14.4" hidden="1">
      <c r="A171" s="1048"/>
      <c r="B171" s="1108"/>
      <c r="C171" s="1108"/>
      <c r="D171" s="1108"/>
      <c r="E171" s="1108"/>
      <c r="F171" s="1048"/>
      <c r="G171" s="1048"/>
      <c r="H171" s="1107"/>
      <c r="I171" s="1096"/>
      <c r="J171" s="1096"/>
      <c r="K171" s="1048"/>
      <c r="L171" s="1048"/>
      <c r="M171" s="1049"/>
      <c r="N171" s="1049"/>
      <c r="O171" s="1049"/>
      <c r="P171" s="1049"/>
      <c r="Q171" s="1049"/>
      <c r="R171" s="1049"/>
      <c r="S171" s="1048"/>
      <c r="T171" s="1048"/>
      <c r="U171" s="1048"/>
      <c r="V171" s="1048"/>
      <c r="W171" s="1048"/>
    </row>
    <row r="172" spans="1:23" ht="15" hidden="1" thickBot="1">
      <c r="A172" s="1108" t="s">
        <v>5</v>
      </c>
      <c r="B172" s="1109"/>
      <c r="C172" s="1049"/>
      <c r="D172" s="1049"/>
      <c r="E172" s="1049"/>
      <c r="F172" s="1048"/>
      <c r="G172" s="1110" t="s">
        <v>77</v>
      </c>
      <c r="H172" s="1107"/>
      <c r="I172" s="1096"/>
      <c r="J172" s="1096"/>
      <c r="K172" s="1048"/>
      <c r="L172" s="1048"/>
      <c r="M172" s="1052" t="s">
        <v>4</v>
      </c>
      <c r="N172" s="1049"/>
      <c r="O172" s="1049"/>
      <c r="P172" s="1049"/>
      <c r="Q172" s="1049"/>
      <c r="R172" s="1049"/>
      <c r="S172" s="1052" t="s">
        <v>610</v>
      </c>
      <c r="T172" s="1048"/>
      <c r="U172" s="1048"/>
      <c r="V172" s="1048"/>
      <c r="W172" s="1048"/>
    </row>
    <row r="173" spans="1:23" ht="14.4" hidden="1">
      <c r="A173" s="1056"/>
      <c r="B173" s="1323" t="s">
        <v>612</v>
      </c>
      <c r="C173" s="1324"/>
      <c r="D173" s="1324"/>
      <c r="E173" s="1325"/>
      <c r="F173" s="1048"/>
      <c r="G173" s="1056"/>
      <c r="H173" s="1323" t="s">
        <v>612</v>
      </c>
      <c r="I173" s="1324"/>
      <c r="J173" s="1324"/>
      <c r="K173" s="1325"/>
      <c r="L173" s="1048"/>
      <c r="M173" s="1056"/>
      <c r="N173" s="1067" t="s">
        <v>612</v>
      </c>
      <c r="O173" s="1068"/>
      <c r="P173" s="1068"/>
      <c r="Q173" s="1069"/>
      <c r="R173" s="1048"/>
      <c r="S173" s="1056"/>
      <c r="T173" s="1323" t="s">
        <v>612</v>
      </c>
      <c r="U173" s="1324"/>
      <c r="V173" s="1324"/>
      <c r="W173" s="1325"/>
    </row>
    <row r="174" spans="1:23" ht="15" hidden="1" thickBot="1">
      <c r="A174" s="1074" t="s">
        <v>74</v>
      </c>
      <c r="B174" s="1079" t="s">
        <v>15</v>
      </c>
      <c r="C174" s="1080" t="s">
        <v>16</v>
      </c>
      <c r="D174" s="1080" t="s">
        <v>17</v>
      </c>
      <c r="E174" s="1081" t="s">
        <v>18</v>
      </c>
      <c r="F174" s="1048"/>
      <c r="G174" s="1074" t="s">
        <v>74</v>
      </c>
      <c r="H174" s="1079" t="s">
        <v>15</v>
      </c>
      <c r="I174" s="1080" t="s">
        <v>16</v>
      </c>
      <c r="J174" s="1080" t="s">
        <v>17</v>
      </c>
      <c r="K174" s="1081" t="s">
        <v>18</v>
      </c>
      <c r="L174" s="1048"/>
      <c r="M174" s="1074" t="s">
        <v>74</v>
      </c>
      <c r="N174" s="1079" t="s">
        <v>15</v>
      </c>
      <c r="O174" s="1080" t="s">
        <v>16</v>
      </c>
      <c r="P174" s="1080" t="s">
        <v>17</v>
      </c>
      <c r="Q174" s="1081" t="s">
        <v>18</v>
      </c>
      <c r="R174" s="1048"/>
      <c r="S174" s="1111" t="s">
        <v>74</v>
      </c>
      <c r="T174" s="1079" t="s">
        <v>15</v>
      </c>
      <c r="U174" s="1080" t="s">
        <v>16</v>
      </c>
      <c r="V174" s="1080" t="s">
        <v>17</v>
      </c>
      <c r="W174" s="1081" t="s">
        <v>18</v>
      </c>
    </row>
    <row r="175" spans="1:23" ht="15" hidden="1" thickBot="1">
      <c r="A175" s="1082">
        <v>0</v>
      </c>
      <c r="B175" s="1083">
        <v>0</v>
      </c>
      <c r="C175" s="1083">
        <v>0</v>
      </c>
      <c r="D175" s="1083">
        <v>0</v>
      </c>
      <c r="E175" s="1083">
        <v>0</v>
      </c>
      <c r="F175" s="1112"/>
      <c r="G175" s="1082">
        <v>0</v>
      </c>
      <c r="H175" s="1083">
        <v>0</v>
      </c>
      <c r="I175" s="1083">
        <v>0</v>
      </c>
      <c r="J175" s="1083">
        <v>0</v>
      </c>
      <c r="K175" s="1083">
        <v>0</v>
      </c>
      <c r="L175" s="1048"/>
      <c r="M175" s="1082">
        <v>0</v>
      </c>
      <c r="N175" s="1083">
        <v>0</v>
      </c>
      <c r="O175" s="1083">
        <v>0</v>
      </c>
      <c r="P175" s="1083">
        <v>0</v>
      </c>
      <c r="Q175" s="1083">
        <v>0</v>
      </c>
      <c r="R175" s="1048"/>
      <c r="S175" s="1082">
        <v>0</v>
      </c>
      <c r="T175" s="1083">
        <v>0</v>
      </c>
      <c r="U175" s="1083">
        <v>0</v>
      </c>
      <c r="V175" s="1083">
        <v>0</v>
      </c>
      <c r="W175" s="1083">
        <v>0</v>
      </c>
    </row>
    <row r="176" spans="1:23" ht="14.4" hidden="1">
      <c r="A176" s="1113">
        <v>3</v>
      </c>
      <c r="B176" s="1088">
        <v>3.6</v>
      </c>
      <c r="C176" s="1088">
        <v>5.4</v>
      </c>
      <c r="D176" s="1088">
        <v>7.2</v>
      </c>
      <c r="E176" s="1088">
        <v>10.8</v>
      </c>
      <c r="F176" s="1112"/>
      <c r="G176" s="1113">
        <v>3</v>
      </c>
      <c r="H176" s="1114">
        <v>14.4</v>
      </c>
      <c r="I176" s="1114">
        <v>21.6</v>
      </c>
      <c r="J176" s="1114">
        <v>28.8</v>
      </c>
      <c r="K176" s="1101">
        <v>43.2</v>
      </c>
      <c r="L176" s="1048"/>
      <c r="M176" s="1113">
        <v>500</v>
      </c>
      <c r="N176" s="1088">
        <v>8.4</v>
      </c>
      <c r="O176" s="1088">
        <v>12.6</v>
      </c>
      <c r="P176" s="1088">
        <v>16.8</v>
      </c>
      <c r="Q176" s="1102">
        <v>25.2</v>
      </c>
      <c r="R176" s="1048"/>
      <c r="S176" s="1115">
        <v>160</v>
      </c>
      <c r="T176" s="1100">
        <v>5.76</v>
      </c>
      <c r="U176" s="1088">
        <v>8.64</v>
      </c>
      <c r="V176" s="1088">
        <v>11.52</v>
      </c>
      <c r="W176" s="1102">
        <v>17.28</v>
      </c>
    </row>
    <row r="177" spans="1:23" ht="14.4" hidden="1">
      <c r="A177" s="1113">
        <v>4</v>
      </c>
      <c r="B177" s="1088">
        <v>4.8</v>
      </c>
      <c r="C177" s="1088">
        <v>7.2</v>
      </c>
      <c r="D177" s="1088">
        <v>9.6</v>
      </c>
      <c r="E177" s="1088">
        <v>14.4</v>
      </c>
      <c r="F177" s="1112"/>
      <c r="G177" s="1113">
        <v>4</v>
      </c>
      <c r="H177" s="1088">
        <v>19.2</v>
      </c>
      <c r="I177" s="1088">
        <v>28.8</v>
      </c>
      <c r="J177" s="1088">
        <v>38.4</v>
      </c>
      <c r="K177" s="1102">
        <v>57.6</v>
      </c>
      <c r="L177" s="1048"/>
      <c r="M177" s="1113">
        <v>600</v>
      </c>
      <c r="N177" s="1088">
        <v>10.08</v>
      </c>
      <c r="O177" s="1088">
        <v>15.12</v>
      </c>
      <c r="P177" s="1088">
        <v>20.16</v>
      </c>
      <c r="Q177" s="1102">
        <v>30.24</v>
      </c>
      <c r="R177" s="1048"/>
      <c r="S177" s="1116">
        <v>170</v>
      </c>
      <c r="T177" s="1100">
        <v>6.12</v>
      </c>
      <c r="U177" s="1088">
        <v>9.24</v>
      </c>
      <c r="V177" s="1088">
        <v>12.24</v>
      </c>
      <c r="W177" s="1102">
        <v>18.36</v>
      </c>
    </row>
    <row r="178" spans="1:23" ht="14.4" hidden="1">
      <c r="A178" s="1113">
        <v>5</v>
      </c>
      <c r="B178" s="1088">
        <v>6</v>
      </c>
      <c r="C178" s="1088">
        <v>9</v>
      </c>
      <c r="D178" s="1088">
        <v>12</v>
      </c>
      <c r="E178" s="1088">
        <v>18</v>
      </c>
      <c r="F178" s="1112"/>
      <c r="G178" s="1113">
        <v>5</v>
      </c>
      <c r="H178" s="1088">
        <v>24</v>
      </c>
      <c r="I178" s="1088">
        <v>36</v>
      </c>
      <c r="J178" s="1088">
        <v>48</v>
      </c>
      <c r="K178" s="1102">
        <v>72</v>
      </c>
      <c r="L178" s="1048"/>
      <c r="M178" s="1113">
        <v>700</v>
      </c>
      <c r="N178" s="1088">
        <v>11.76</v>
      </c>
      <c r="O178" s="1088">
        <v>17.64</v>
      </c>
      <c r="P178" s="1088">
        <v>23.52</v>
      </c>
      <c r="Q178" s="1102">
        <v>35.28</v>
      </c>
      <c r="R178" s="1048"/>
      <c r="S178" s="1116">
        <v>180</v>
      </c>
      <c r="T178" s="1100">
        <v>6.48</v>
      </c>
      <c r="U178" s="1088">
        <v>9.7200000000000006</v>
      </c>
      <c r="V178" s="1088">
        <v>12.96</v>
      </c>
      <c r="W178" s="1102">
        <v>19.440000000000001</v>
      </c>
    </row>
    <row r="179" spans="1:23" ht="14.4" hidden="1">
      <c r="A179" s="1113">
        <v>6</v>
      </c>
      <c r="B179" s="1088">
        <v>7.2</v>
      </c>
      <c r="C179" s="1088">
        <v>10.8</v>
      </c>
      <c r="D179" s="1088">
        <v>14.4</v>
      </c>
      <c r="E179" s="1088">
        <v>21.6</v>
      </c>
      <c r="F179" s="1112"/>
      <c r="G179" s="1113">
        <v>6</v>
      </c>
      <c r="H179" s="1088">
        <v>28.8</v>
      </c>
      <c r="I179" s="1088">
        <v>43.2</v>
      </c>
      <c r="J179" s="1088">
        <v>57.6</v>
      </c>
      <c r="K179" s="1102">
        <v>86.4</v>
      </c>
      <c r="L179" s="1048"/>
      <c r="M179" s="1113">
        <v>800</v>
      </c>
      <c r="N179" s="1088">
        <v>13.44</v>
      </c>
      <c r="O179" s="1088">
        <v>20.16</v>
      </c>
      <c r="P179" s="1088">
        <v>26.88</v>
      </c>
      <c r="Q179" s="1102">
        <v>40.32</v>
      </c>
      <c r="R179" s="1048"/>
      <c r="S179" s="1116">
        <v>190</v>
      </c>
      <c r="T179" s="1100">
        <v>6.84</v>
      </c>
      <c r="U179" s="1088">
        <v>10.32</v>
      </c>
      <c r="V179" s="1088">
        <v>13.68</v>
      </c>
      <c r="W179" s="1102">
        <v>20.52</v>
      </c>
    </row>
    <row r="180" spans="1:23" ht="14.4" hidden="1">
      <c r="A180" s="1113">
        <v>7</v>
      </c>
      <c r="B180" s="1088">
        <v>8.4</v>
      </c>
      <c r="C180" s="1088">
        <v>12.6</v>
      </c>
      <c r="D180" s="1088">
        <v>16.8</v>
      </c>
      <c r="E180" s="1088">
        <v>25.2</v>
      </c>
      <c r="F180" s="1112"/>
      <c r="G180" s="1113">
        <v>7</v>
      </c>
      <c r="H180" s="1088">
        <v>33.6</v>
      </c>
      <c r="I180" s="1088">
        <v>50.4</v>
      </c>
      <c r="J180" s="1088">
        <v>67.2</v>
      </c>
      <c r="K180" s="1102">
        <v>100.8</v>
      </c>
      <c r="L180" s="1048"/>
      <c r="M180" s="1113">
        <v>900</v>
      </c>
      <c r="N180" s="1088">
        <v>15.12</v>
      </c>
      <c r="O180" s="1088">
        <v>22.68</v>
      </c>
      <c r="P180" s="1088">
        <v>30.24</v>
      </c>
      <c r="Q180" s="1102">
        <v>45.36</v>
      </c>
      <c r="R180" s="1048"/>
      <c r="S180" s="1116">
        <v>200</v>
      </c>
      <c r="T180" s="1100">
        <v>7.2</v>
      </c>
      <c r="U180" s="1088">
        <v>10.8</v>
      </c>
      <c r="V180" s="1088">
        <v>14.4</v>
      </c>
      <c r="W180" s="1102">
        <v>21.6</v>
      </c>
    </row>
    <row r="181" spans="1:23" ht="14.4" hidden="1">
      <c r="A181" s="1113">
        <v>8</v>
      </c>
      <c r="B181" s="1088">
        <v>9.6</v>
      </c>
      <c r="C181" s="1088">
        <v>14.4</v>
      </c>
      <c r="D181" s="1088">
        <v>19.2</v>
      </c>
      <c r="E181" s="1088">
        <v>28.8</v>
      </c>
      <c r="F181" s="1112"/>
      <c r="G181" s="1113">
        <v>8</v>
      </c>
      <c r="H181" s="1088">
        <v>38.4</v>
      </c>
      <c r="I181" s="1088">
        <v>57.6</v>
      </c>
      <c r="J181" s="1088">
        <v>76.8</v>
      </c>
      <c r="K181" s="1102">
        <v>115.2</v>
      </c>
      <c r="L181" s="1048"/>
      <c r="M181" s="1113">
        <v>1000</v>
      </c>
      <c r="N181" s="1088">
        <v>16.8</v>
      </c>
      <c r="O181" s="1088">
        <v>25.2</v>
      </c>
      <c r="P181" s="1088">
        <v>33.6</v>
      </c>
      <c r="Q181" s="1102">
        <v>50.4</v>
      </c>
      <c r="R181" s="1048"/>
      <c r="S181" s="1116">
        <v>210</v>
      </c>
      <c r="T181" s="1100">
        <v>7.56</v>
      </c>
      <c r="U181" s="1088">
        <v>11.4</v>
      </c>
      <c r="V181" s="1088">
        <v>15.12</v>
      </c>
      <c r="W181" s="1102">
        <v>22.68</v>
      </c>
    </row>
    <row r="182" spans="1:23" ht="14.4" hidden="1">
      <c r="A182" s="1113">
        <v>9</v>
      </c>
      <c r="B182" s="1088">
        <v>10.8</v>
      </c>
      <c r="C182" s="1088">
        <v>16.2</v>
      </c>
      <c r="D182" s="1088">
        <v>21.6</v>
      </c>
      <c r="E182" s="1088">
        <v>32.4</v>
      </c>
      <c r="F182" s="1112"/>
      <c r="G182" s="1113">
        <v>9</v>
      </c>
      <c r="H182" s="1088">
        <v>43.2</v>
      </c>
      <c r="I182" s="1088">
        <v>64.8</v>
      </c>
      <c r="J182" s="1088">
        <v>86.4</v>
      </c>
      <c r="K182" s="1102">
        <v>129.6</v>
      </c>
      <c r="L182" s="1048"/>
      <c r="M182" s="1113">
        <v>1100</v>
      </c>
      <c r="N182" s="1088">
        <v>18.48</v>
      </c>
      <c r="O182" s="1088">
        <v>27.72</v>
      </c>
      <c r="P182" s="1088">
        <v>36.96</v>
      </c>
      <c r="Q182" s="1102">
        <v>55.44</v>
      </c>
      <c r="R182" s="1048"/>
      <c r="S182" s="1116">
        <v>220</v>
      </c>
      <c r="T182" s="1100">
        <v>7.92</v>
      </c>
      <c r="U182" s="1088">
        <v>11.88</v>
      </c>
      <c r="V182" s="1088">
        <v>15.84</v>
      </c>
      <c r="W182" s="1102">
        <v>23.76</v>
      </c>
    </row>
    <row r="183" spans="1:23" ht="14.4" hidden="1">
      <c r="A183" s="1113">
        <v>10</v>
      </c>
      <c r="B183" s="1088">
        <v>12</v>
      </c>
      <c r="C183" s="1088">
        <v>18</v>
      </c>
      <c r="D183" s="1088">
        <v>24</v>
      </c>
      <c r="E183" s="1088">
        <v>36</v>
      </c>
      <c r="F183" s="1112"/>
      <c r="G183" s="1113">
        <v>10</v>
      </c>
      <c r="H183" s="1088">
        <v>48</v>
      </c>
      <c r="I183" s="1088">
        <v>72</v>
      </c>
      <c r="J183" s="1088">
        <v>96</v>
      </c>
      <c r="K183" s="1102">
        <v>144</v>
      </c>
      <c r="L183" s="1048"/>
      <c r="M183" s="1113">
        <v>1200</v>
      </c>
      <c r="N183" s="1088">
        <v>20.16</v>
      </c>
      <c r="O183" s="1088">
        <v>30.24</v>
      </c>
      <c r="P183" s="1088">
        <v>40.32</v>
      </c>
      <c r="Q183" s="1102">
        <v>60.48</v>
      </c>
      <c r="R183" s="1048"/>
      <c r="S183" s="1116">
        <v>230</v>
      </c>
      <c r="T183" s="1100">
        <v>8.2799999999999994</v>
      </c>
      <c r="U183" s="1088">
        <v>12.48</v>
      </c>
      <c r="V183" s="1088">
        <v>16.559999999999999</v>
      </c>
      <c r="W183" s="1102">
        <v>24.84</v>
      </c>
    </row>
    <row r="184" spans="1:23" ht="14.4" hidden="1">
      <c r="A184" s="1113">
        <v>11</v>
      </c>
      <c r="B184" s="1088">
        <v>13.2</v>
      </c>
      <c r="C184" s="1088">
        <v>19.8</v>
      </c>
      <c r="D184" s="1088">
        <v>26.4</v>
      </c>
      <c r="E184" s="1088">
        <v>39.6</v>
      </c>
      <c r="F184" s="1112"/>
      <c r="G184" s="1113">
        <v>11</v>
      </c>
      <c r="H184" s="1088">
        <v>52.8</v>
      </c>
      <c r="I184" s="1088">
        <v>79.2</v>
      </c>
      <c r="J184" s="1088">
        <v>105.6</v>
      </c>
      <c r="K184" s="1102">
        <v>158.4</v>
      </c>
      <c r="L184" s="1048"/>
      <c r="M184" s="1113">
        <v>1300</v>
      </c>
      <c r="N184" s="1088">
        <v>21.84</v>
      </c>
      <c r="O184" s="1088">
        <v>32.76</v>
      </c>
      <c r="P184" s="1088">
        <v>43.68</v>
      </c>
      <c r="Q184" s="1102">
        <v>65.52</v>
      </c>
      <c r="R184" s="1048"/>
      <c r="S184" s="1116">
        <v>240</v>
      </c>
      <c r="T184" s="1100">
        <v>8.64</v>
      </c>
      <c r="U184" s="1088">
        <v>12.96</v>
      </c>
      <c r="V184" s="1088">
        <v>17.28</v>
      </c>
      <c r="W184" s="1102">
        <v>25.92</v>
      </c>
    </row>
    <row r="185" spans="1:23" ht="14.4" hidden="1">
      <c r="A185" s="1113">
        <v>12</v>
      </c>
      <c r="B185" s="1088">
        <v>14.4</v>
      </c>
      <c r="C185" s="1088">
        <v>21.6</v>
      </c>
      <c r="D185" s="1088">
        <v>28.8</v>
      </c>
      <c r="E185" s="1088">
        <v>43.2</v>
      </c>
      <c r="F185" s="1112"/>
      <c r="G185" s="1113">
        <v>12</v>
      </c>
      <c r="H185" s="1088">
        <v>57.6</v>
      </c>
      <c r="I185" s="1088">
        <v>86.4</v>
      </c>
      <c r="J185" s="1088">
        <v>115.2</v>
      </c>
      <c r="K185" s="1102">
        <v>172.8</v>
      </c>
      <c r="L185" s="1048"/>
      <c r="M185" s="1113">
        <v>1400</v>
      </c>
      <c r="N185" s="1088">
        <v>23.52</v>
      </c>
      <c r="O185" s="1088">
        <v>35.28</v>
      </c>
      <c r="P185" s="1088">
        <v>47.04</v>
      </c>
      <c r="Q185" s="1102">
        <v>70.56</v>
      </c>
      <c r="R185" s="1048"/>
      <c r="S185" s="1116">
        <v>250</v>
      </c>
      <c r="T185" s="1100">
        <v>9</v>
      </c>
      <c r="U185" s="1088">
        <v>13.56</v>
      </c>
      <c r="V185" s="1088">
        <v>18</v>
      </c>
      <c r="W185" s="1102">
        <v>27</v>
      </c>
    </row>
    <row r="186" spans="1:23" ht="14.4" hidden="1">
      <c r="A186" s="1113">
        <v>13</v>
      </c>
      <c r="B186" s="1088">
        <v>15.6</v>
      </c>
      <c r="C186" s="1088">
        <v>23.4</v>
      </c>
      <c r="D186" s="1088">
        <v>31.2</v>
      </c>
      <c r="E186" s="1088">
        <v>46.8</v>
      </c>
      <c r="F186" s="1112"/>
      <c r="G186" s="1113">
        <v>13</v>
      </c>
      <c r="H186" s="1088">
        <v>62.4</v>
      </c>
      <c r="I186" s="1088">
        <v>93.6</v>
      </c>
      <c r="J186" s="1088">
        <v>124.8</v>
      </c>
      <c r="K186" s="1102">
        <v>187.2</v>
      </c>
      <c r="L186" s="1048"/>
      <c r="M186" s="1113">
        <v>1500</v>
      </c>
      <c r="N186" s="1088">
        <v>25.2</v>
      </c>
      <c r="O186" s="1088">
        <v>37.799999999999997</v>
      </c>
      <c r="P186" s="1088">
        <v>50.4</v>
      </c>
      <c r="Q186" s="1102">
        <v>75.599999999999994</v>
      </c>
      <c r="R186" s="1048"/>
      <c r="S186" s="1116">
        <v>260</v>
      </c>
      <c r="T186" s="1100">
        <v>9.36</v>
      </c>
      <c r="U186" s="1088">
        <v>14.04</v>
      </c>
      <c r="V186" s="1088">
        <v>18.72</v>
      </c>
      <c r="W186" s="1102">
        <v>28.08</v>
      </c>
    </row>
    <row r="187" spans="1:23" ht="14.4" hidden="1">
      <c r="A187" s="1113">
        <v>14</v>
      </c>
      <c r="B187" s="1088">
        <v>16.8</v>
      </c>
      <c r="C187" s="1088">
        <v>25.2</v>
      </c>
      <c r="D187" s="1088">
        <v>33.6</v>
      </c>
      <c r="E187" s="1088">
        <v>50.4</v>
      </c>
      <c r="F187" s="1112"/>
      <c r="G187" s="1113">
        <v>14</v>
      </c>
      <c r="H187" s="1088">
        <v>67.2</v>
      </c>
      <c r="I187" s="1088">
        <v>100.8</v>
      </c>
      <c r="J187" s="1088">
        <v>134.4</v>
      </c>
      <c r="K187" s="1102">
        <v>201.6</v>
      </c>
      <c r="L187" s="1048"/>
      <c r="M187" s="1113">
        <v>1600</v>
      </c>
      <c r="N187" s="1088">
        <v>26.88</v>
      </c>
      <c r="O187" s="1088">
        <v>40.32</v>
      </c>
      <c r="P187" s="1088">
        <v>53.76</v>
      </c>
      <c r="Q187" s="1102">
        <v>80.64</v>
      </c>
      <c r="R187" s="1048"/>
      <c r="S187" s="1116">
        <v>270</v>
      </c>
      <c r="T187" s="1100">
        <v>9.7200000000000006</v>
      </c>
      <c r="U187" s="1088">
        <v>14.64</v>
      </c>
      <c r="V187" s="1088">
        <v>19.440000000000001</v>
      </c>
      <c r="W187" s="1102">
        <v>29.16</v>
      </c>
    </row>
    <row r="188" spans="1:23" ht="14.4" hidden="1">
      <c r="A188" s="1113">
        <v>15</v>
      </c>
      <c r="B188" s="1088">
        <v>18</v>
      </c>
      <c r="C188" s="1088">
        <v>27</v>
      </c>
      <c r="D188" s="1088">
        <v>36</v>
      </c>
      <c r="E188" s="1088">
        <v>54</v>
      </c>
      <c r="F188" s="1112"/>
      <c r="G188" s="1113">
        <v>15</v>
      </c>
      <c r="H188" s="1088">
        <v>72</v>
      </c>
      <c r="I188" s="1088">
        <v>108</v>
      </c>
      <c r="J188" s="1088">
        <v>144</v>
      </c>
      <c r="K188" s="1102">
        <v>216</v>
      </c>
      <c r="L188" s="1048"/>
      <c r="M188" s="1113">
        <v>1700</v>
      </c>
      <c r="N188" s="1088">
        <v>28.56</v>
      </c>
      <c r="O188" s="1088">
        <v>42.84</v>
      </c>
      <c r="P188" s="1088">
        <v>57.12</v>
      </c>
      <c r="Q188" s="1102">
        <v>85.68</v>
      </c>
      <c r="R188" s="1048"/>
      <c r="S188" s="1116">
        <v>280</v>
      </c>
      <c r="T188" s="1100">
        <v>10.08</v>
      </c>
      <c r="U188" s="1088">
        <v>15.12</v>
      </c>
      <c r="V188" s="1088">
        <v>20.16</v>
      </c>
      <c r="W188" s="1102">
        <v>30.24</v>
      </c>
    </row>
    <row r="189" spans="1:23" ht="14.4" hidden="1">
      <c r="A189" s="1113">
        <v>16</v>
      </c>
      <c r="B189" s="1088">
        <v>19.2</v>
      </c>
      <c r="C189" s="1088">
        <v>28.8</v>
      </c>
      <c r="D189" s="1088">
        <v>38.4</v>
      </c>
      <c r="E189" s="1088">
        <v>57.6</v>
      </c>
      <c r="F189" s="1112"/>
      <c r="G189" s="1113">
        <v>16</v>
      </c>
      <c r="H189" s="1088">
        <v>76.8</v>
      </c>
      <c r="I189" s="1088">
        <v>115.2</v>
      </c>
      <c r="J189" s="1088">
        <v>153.6</v>
      </c>
      <c r="K189" s="1102">
        <v>230.4</v>
      </c>
      <c r="L189" s="1048"/>
      <c r="M189" s="1113">
        <v>1800</v>
      </c>
      <c r="N189" s="1088">
        <v>30.24</v>
      </c>
      <c r="O189" s="1088">
        <v>45.36</v>
      </c>
      <c r="P189" s="1088">
        <v>60.48</v>
      </c>
      <c r="Q189" s="1102">
        <v>90.72</v>
      </c>
      <c r="R189" s="1048"/>
      <c r="S189" s="1116">
        <v>290</v>
      </c>
      <c r="T189" s="1100">
        <v>10.44</v>
      </c>
      <c r="U189" s="1088">
        <v>15.72</v>
      </c>
      <c r="V189" s="1088">
        <v>20.88</v>
      </c>
      <c r="W189" s="1102">
        <v>31.32</v>
      </c>
    </row>
    <row r="190" spans="1:23" ht="14.4" hidden="1">
      <c r="A190" s="1113">
        <v>17</v>
      </c>
      <c r="B190" s="1088">
        <v>20.399999999999999</v>
      </c>
      <c r="C190" s="1088">
        <v>30.6</v>
      </c>
      <c r="D190" s="1088">
        <v>40.799999999999997</v>
      </c>
      <c r="E190" s="1088">
        <v>61.2</v>
      </c>
      <c r="F190" s="1112"/>
      <c r="G190" s="1113">
        <v>17</v>
      </c>
      <c r="H190" s="1088">
        <v>81.599999999999994</v>
      </c>
      <c r="I190" s="1088">
        <v>122.4</v>
      </c>
      <c r="J190" s="1088">
        <v>163.19999999999999</v>
      </c>
      <c r="K190" s="1102">
        <v>244.8</v>
      </c>
      <c r="L190" s="1048"/>
      <c r="M190" s="1113">
        <v>1900</v>
      </c>
      <c r="N190" s="1088">
        <v>31.92</v>
      </c>
      <c r="O190" s="1088">
        <v>47.88</v>
      </c>
      <c r="P190" s="1088">
        <v>63.84</v>
      </c>
      <c r="Q190" s="1102">
        <v>95.76</v>
      </c>
      <c r="R190" s="1048"/>
      <c r="S190" s="1116">
        <v>300</v>
      </c>
      <c r="T190" s="1100">
        <v>10.8</v>
      </c>
      <c r="U190" s="1088">
        <v>16.2</v>
      </c>
      <c r="V190" s="1088">
        <v>21.6</v>
      </c>
      <c r="W190" s="1102">
        <v>32.4</v>
      </c>
    </row>
    <row r="191" spans="1:23" ht="14.4" hidden="1">
      <c r="A191" s="1113">
        <v>18</v>
      </c>
      <c r="B191" s="1088">
        <v>21.6</v>
      </c>
      <c r="C191" s="1088">
        <v>32.4</v>
      </c>
      <c r="D191" s="1088">
        <v>43.2</v>
      </c>
      <c r="E191" s="1088">
        <v>64.8</v>
      </c>
      <c r="F191" s="1112"/>
      <c r="G191" s="1113">
        <v>18</v>
      </c>
      <c r="H191" s="1088">
        <v>86.4</v>
      </c>
      <c r="I191" s="1088">
        <v>129.6</v>
      </c>
      <c r="J191" s="1088">
        <v>172.8</v>
      </c>
      <c r="K191" s="1102">
        <v>259.2</v>
      </c>
      <c r="L191" s="1048"/>
      <c r="M191" s="1113">
        <v>2000</v>
      </c>
      <c r="N191" s="1088">
        <v>33.6</v>
      </c>
      <c r="O191" s="1088">
        <v>50.4</v>
      </c>
      <c r="P191" s="1088">
        <v>67.2</v>
      </c>
      <c r="Q191" s="1102">
        <v>100.8</v>
      </c>
      <c r="R191" s="1048"/>
      <c r="S191" s="1116">
        <v>310</v>
      </c>
      <c r="T191" s="1100">
        <v>11.16</v>
      </c>
      <c r="U191" s="1088">
        <v>16.8</v>
      </c>
      <c r="V191" s="1088">
        <v>22.32</v>
      </c>
      <c r="W191" s="1102">
        <v>33.479999999999997</v>
      </c>
    </row>
    <row r="192" spans="1:23" ht="14.4" hidden="1">
      <c r="A192" s="1113">
        <v>19</v>
      </c>
      <c r="B192" s="1088">
        <v>22.8</v>
      </c>
      <c r="C192" s="1088">
        <v>34.200000000000003</v>
      </c>
      <c r="D192" s="1088">
        <v>45.6</v>
      </c>
      <c r="E192" s="1088">
        <v>68.400000000000006</v>
      </c>
      <c r="F192" s="1112"/>
      <c r="G192" s="1113">
        <v>19</v>
      </c>
      <c r="H192" s="1088">
        <v>91.2</v>
      </c>
      <c r="I192" s="1088">
        <v>136.80000000000001</v>
      </c>
      <c r="J192" s="1088">
        <v>182.4</v>
      </c>
      <c r="K192" s="1102">
        <v>273.60000000000002</v>
      </c>
      <c r="L192" s="1048"/>
      <c r="M192" s="1113">
        <v>2100</v>
      </c>
      <c r="N192" s="1088">
        <v>35.28</v>
      </c>
      <c r="O192" s="1088">
        <v>52.92</v>
      </c>
      <c r="P192" s="1088">
        <v>70.56</v>
      </c>
      <c r="Q192" s="1102">
        <v>105.84</v>
      </c>
      <c r="R192" s="1048"/>
      <c r="S192" s="1116">
        <v>320</v>
      </c>
      <c r="T192" s="1100">
        <v>11.52</v>
      </c>
      <c r="U192" s="1088">
        <v>17.28</v>
      </c>
      <c r="V192" s="1088">
        <v>23.04</v>
      </c>
      <c r="W192" s="1102">
        <v>34.56</v>
      </c>
    </row>
    <row r="193" spans="1:23" ht="14.4" hidden="1">
      <c r="A193" s="1113">
        <v>20</v>
      </c>
      <c r="B193" s="1088">
        <v>24</v>
      </c>
      <c r="C193" s="1088">
        <v>36</v>
      </c>
      <c r="D193" s="1088">
        <v>48</v>
      </c>
      <c r="E193" s="1088">
        <v>72</v>
      </c>
      <c r="F193" s="1112"/>
      <c r="G193" s="1113">
        <v>20</v>
      </c>
      <c r="H193" s="1088">
        <v>96</v>
      </c>
      <c r="I193" s="1088">
        <v>144</v>
      </c>
      <c r="J193" s="1088">
        <v>192</v>
      </c>
      <c r="K193" s="1102">
        <v>288</v>
      </c>
      <c r="L193" s="1048"/>
      <c r="M193" s="1113">
        <v>2200</v>
      </c>
      <c r="N193" s="1088">
        <v>36.96</v>
      </c>
      <c r="O193" s="1088">
        <v>55.44</v>
      </c>
      <c r="P193" s="1088">
        <v>73.92</v>
      </c>
      <c r="Q193" s="1102">
        <v>110.88</v>
      </c>
      <c r="R193" s="1048"/>
      <c r="S193" s="1116">
        <v>330</v>
      </c>
      <c r="T193" s="1100">
        <v>11.88</v>
      </c>
      <c r="U193" s="1088">
        <v>17.88</v>
      </c>
      <c r="V193" s="1088">
        <v>23.76</v>
      </c>
      <c r="W193" s="1102">
        <v>35.64</v>
      </c>
    </row>
    <row r="194" spans="1:23" ht="14.4" hidden="1">
      <c r="A194" s="1113">
        <v>21</v>
      </c>
      <c r="B194" s="1088">
        <v>25.2</v>
      </c>
      <c r="C194" s="1088">
        <v>37.799999999999997</v>
      </c>
      <c r="D194" s="1088">
        <v>50.4</v>
      </c>
      <c r="E194" s="1088">
        <v>75.599999999999994</v>
      </c>
      <c r="F194" s="1112"/>
      <c r="G194" s="1113">
        <v>21</v>
      </c>
      <c r="H194" s="1088">
        <v>100.8</v>
      </c>
      <c r="I194" s="1088">
        <v>151.19999999999999</v>
      </c>
      <c r="J194" s="1088">
        <v>201.6</v>
      </c>
      <c r="K194" s="1102">
        <v>302.39999999999998</v>
      </c>
      <c r="L194" s="1048"/>
      <c r="M194" s="1113">
        <v>2300</v>
      </c>
      <c r="N194" s="1088">
        <v>38.64</v>
      </c>
      <c r="O194" s="1088">
        <v>57.96</v>
      </c>
      <c r="P194" s="1088">
        <v>77.28</v>
      </c>
      <c r="Q194" s="1102">
        <v>115.92</v>
      </c>
      <c r="R194" s="1048"/>
      <c r="S194" s="1116">
        <v>340</v>
      </c>
      <c r="T194" s="1100">
        <v>12.24</v>
      </c>
      <c r="U194" s="1088">
        <v>18.36</v>
      </c>
      <c r="V194" s="1088">
        <v>24.48</v>
      </c>
      <c r="W194" s="1102">
        <v>36.72</v>
      </c>
    </row>
    <row r="195" spans="1:23" ht="14.4" hidden="1">
      <c r="A195" s="1113">
        <v>22</v>
      </c>
      <c r="B195" s="1088">
        <v>26.4</v>
      </c>
      <c r="C195" s="1088">
        <v>39.6</v>
      </c>
      <c r="D195" s="1088">
        <v>52.8</v>
      </c>
      <c r="E195" s="1088">
        <v>79.2</v>
      </c>
      <c r="F195" s="1112"/>
      <c r="G195" s="1113">
        <v>22</v>
      </c>
      <c r="H195" s="1088">
        <v>105.6</v>
      </c>
      <c r="I195" s="1088">
        <v>158.4</v>
      </c>
      <c r="J195" s="1088">
        <v>211.2</v>
      </c>
      <c r="K195" s="1102">
        <v>316.8</v>
      </c>
      <c r="L195" s="1048"/>
      <c r="M195" s="1113">
        <v>2400</v>
      </c>
      <c r="N195" s="1088">
        <v>40.32</v>
      </c>
      <c r="O195" s="1088">
        <v>60.48</v>
      </c>
      <c r="P195" s="1088">
        <v>80.64</v>
      </c>
      <c r="Q195" s="1102">
        <v>120.96</v>
      </c>
      <c r="R195" s="1048"/>
      <c r="S195" s="1116">
        <v>350</v>
      </c>
      <c r="T195" s="1100">
        <v>12.6</v>
      </c>
      <c r="U195" s="1088">
        <v>18.96</v>
      </c>
      <c r="V195" s="1088">
        <v>25.2</v>
      </c>
      <c r="W195" s="1102">
        <v>37.799999999999997</v>
      </c>
    </row>
    <row r="196" spans="1:23" ht="14.4" hidden="1">
      <c r="A196" s="1113">
        <v>23</v>
      </c>
      <c r="B196" s="1088">
        <v>27.6</v>
      </c>
      <c r="C196" s="1088">
        <v>41.4</v>
      </c>
      <c r="D196" s="1088">
        <v>55.2</v>
      </c>
      <c r="E196" s="1088">
        <v>82.8</v>
      </c>
      <c r="F196" s="1112"/>
      <c r="G196" s="1113">
        <v>23</v>
      </c>
      <c r="H196" s="1088">
        <v>110.4</v>
      </c>
      <c r="I196" s="1088">
        <v>165.6</v>
      </c>
      <c r="J196" s="1088">
        <v>220.8</v>
      </c>
      <c r="K196" s="1102">
        <v>331.2</v>
      </c>
      <c r="L196" s="1048"/>
      <c r="M196" s="1113">
        <v>2500</v>
      </c>
      <c r="N196" s="1088">
        <v>42</v>
      </c>
      <c r="O196" s="1088">
        <v>63</v>
      </c>
      <c r="P196" s="1088">
        <v>84</v>
      </c>
      <c r="Q196" s="1102">
        <v>126</v>
      </c>
      <c r="R196" s="1048"/>
      <c r="S196" s="1116">
        <v>360</v>
      </c>
      <c r="T196" s="1100">
        <v>12.96</v>
      </c>
      <c r="U196" s="1088">
        <v>19.440000000000001</v>
      </c>
      <c r="V196" s="1088">
        <v>25.92</v>
      </c>
      <c r="W196" s="1102">
        <v>38.880000000000003</v>
      </c>
    </row>
    <row r="197" spans="1:23" ht="14.4" hidden="1">
      <c r="A197" s="1113">
        <v>24</v>
      </c>
      <c r="B197" s="1088">
        <v>28.8</v>
      </c>
      <c r="C197" s="1088">
        <v>43.2</v>
      </c>
      <c r="D197" s="1088">
        <v>57.6</v>
      </c>
      <c r="E197" s="1088">
        <v>86.4</v>
      </c>
      <c r="F197" s="1112"/>
      <c r="G197" s="1113">
        <v>24</v>
      </c>
      <c r="H197" s="1088">
        <v>115.2</v>
      </c>
      <c r="I197" s="1088">
        <v>172.8</v>
      </c>
      <c r="J197" s="1088">
        <v>230.4</v>
      </c>
      <c r="K197" s="1102">
        <v>345.6</v>
      </c>
      <c r="L197" s="1048"/>
      <c r="M197" s="1113">
        <v>2600</v>
      </c>
      <c r="N197" s="1088">
        <v>43.68</v>
      </c>
      <c r="O197" s="1088">
        <v>65.52</v>
      </c>
      <c r="P197" s="1088">
        <v>87.36</v>
      </c>
      <c r="Q197" s="1102">
        <v>131.04</v>
      </c>
      <c r="R197" s="1048"/>
      <c r="S197" s="1116">
        <v>370</v>
      </c>
      <c r="T197" s="1100">
        <v>13.32</v>
      </c>
      <c r="U197" s="1088">
        <v>20.04</v>
      </c>
      <c r="V197" s="1088">
        <v>26.64</v>
      </c>
      <c r="W197" s="1102">
        <v>39.96</v>
      </c>
    </row>
    <row r="198" spans="1:23" ht="15" hidden="1" thickBot="1">
      <c r="A198" s="1113">
        <v>25</v>
      </c>
      <c r="B198" s="1088">
        <v>30</v>
      </c>
      <c r="C198" s="1088">
        <v>45</v>
      </c>
      <c r="D198" s="1088">
        <v>60</v>
      </c>
      <c r="E198" s="1088">
        <v>90</v>
      </c>
      <c r="F198" s="1112"/>
      <c r="G198" s="1074">
        <v>25</v>
      </c>
      <c r="H198" s="1105">
        <v>120</v>
      </c>
      <c r="I198" s="1105">
        <v>180</v>
      </c>
      <c r="J198" s="1105">
        <v>240</v>
      </c>
      <c r="K198" s="1106">
        <v>360</v>
      </c>
      <c r="L198" s="1048"/>
      <c r="M198" s="1113">
        <v>2700</v>
      </c>
      <c r="N198" s="1088">
        <v>45.36</v>
      </c>
      <c r="O198" s="1088">
        <v>68.040000000000006</v>
      </c>
      <c r="P198" s="1088">
        <v>90.72</v>
      </c>
      <c r="Q198" s="1102">
        <v>136.08000000000001</v>
      </c>
      <c r="R198" s="1048"/>
      <c r="S198" s="1116">
        <v>380</v>
      </c>
      <c r="T198" s="1100">
        <v>13.68</v>
      </c>
      <c r="U198" s="1088">
        <v>20.52</v>
      </c>
      <c r="V198" s="1088">
        <v>27.36</v>
      </c>
      <c r="W198" s="1102">
        <v>41.04</v>
      </c>
    </row>
    <row r="199" spans="1:23" ht="14.4" hidden="1">
      <c r="A199" s="1113">
        <v>26</v>
      </c>
      <c r="B199" s="1088">
        <v>31.2</v>
      </c>
      <c r="C199" s="1088">
        <v>46.8</v>
      </c>
      <c r="D199" s="1088">
        <v>62.4</v>
      </c>
      <c r="E199" s="1088">
        <v>93.6</v>
      </c>
      <c r="F199" s="1112"/>
      <c r="G199" s="1048"/>
      <c r="H199" s="1048"/>
      <c r="I199" s="1048"/>
      <c r="J199" s="1048"/>
      <c r="K199" s="1048"/>
      <c r="L199" s="1048"/>
      <c r="M199" s="1113">
        <v>2800</v>
      </c>
      <c r="N199" s="1088">
        <v>47.04</v>
      </c>
      <c r="O199" s="1088">
        <v>70.56</v>
      </c>
      <c r="P199" s="1088">
        <v>94.08</v>
      </c>
      <c r="Q199" s="1102">
        <v>141.12</v>
      </c>
      <c r="R199" s="1048"/>
      <c r="S199" s="1116">
        <v>390</v>
      </c>
      <c r="T199" s="1100">
        <v>14.04</v>
      </c>
      <c r="U199" s="1088">
        <v>21.12</v>
      </c>
      <c r="V199" s="1088">
        <v>28.08</v>
      </c>
      <c r="W199" s="1102">
        <v>42.12</v>
      </c>
    </row>
    <row r="200" spans="1:23" ht="14.4" hidden="1">
      <c r="A200" s="1113">
        <v>27</v>
      </c>
      <c r="B200" s="1088">
        <v>32.4</v>
      </c>
      <c r="C200" s="1088">
        <v>48.6</v>
      </c>
      <c r="D200" s="1088">
        <v>64.8</v>
      </c>
      <c r="E200" s="1088">
        <v>97.2</v>
      </c>
      <c r="F200" s="1112"/>
      <c r="G200" s="1048"/>
      <c r="H200" s="1048"/>
      <c r="I200" s="1048"/>
      <c r="J200" s="1048"/>
      <c r="K200" s="1048"/>
      <c r="L200" s="1048"/>
      <c r="M200" s="1113">
        <v>2900</v>
      </c>
      <c r="N200" s="1088">
        <v>48.72</v>
      </c>
      <c r="O200" s="1088">
        <v>73.08</v>
      </c>
      <c r="P200" s="1088">
        <v>97.44</v>
      </c>
      <c r="Q200" s="1102">
        <v>146.16</v>
      </c>
      <c r="R200" s="1048"/>
      <c r="S200" s="1116">
        <v>400</v>
      </c>
      <c r="T200" s="1100">
        <v>14.4</v>
      </c>
      <c r="U200" s="1088">
        <v>21.6</v>
      </c>
      <c r="V200" s="1088">
        <v>28.8</v>
      </c>
      <c r="W200" s="1102">
        <v>43.2</v>
      </c>
    </row>
    <row r="201" spans="1:23" ht="14.4" hidden="1">
      <c r="A201" s="1113">
        <v>28</v>
      </c>
      <c r="B201" s="1088">
        <v>33.6</v>
      </c>
      <c r="C201" s="1088">
        <v>50.4</v>
      </c>
      <c r="D201" s="1088">
        <v>67.2</v>
      </c>
      <c r="E201" s="1088">
        <v>100.8</v>
      </c>
      <c r="F201" s="1112"/>
      <c r="G201" s="1048"/>
      <c r="H201" s="1048"/>
      <c r="I201" s="1048"/>
      <c r="J201" s="1048"/>
      <c r="K201" s="1048"/>
      <c r="L201" s="1048"/>
      <c r="M201" s="1113">
        <v>3000</v>
      </c>
      <c r="N201" s="1088">
        <v>50.4</v>
      </c>
      <c r="O201" s="1088">
        <v>75.599999999999994</v>
      </c>
      <c r="P201" s="1088">
        <v>100.8</v>
      </c>
      <c r="Q201" s="1102">
        <v>151.19999999999999</v>
      </c>
      <c r="R201" s="1048"/>
      <c r="S201" s="1116">
        <v>410</v>
      </c>
      <c r="T201" s="1100">
        <v>14.76</v>
      </c>
      <c r="U201" s="1088">
        <v>22.2</v>
      </c>
      <c r="V201" s="1088">
        <v>29.52</v>
      </c>
      <c r="W201" s="1102">
        <v>44.28</v>
      </c>
    </row>
    <row r="202" spans="1:23" ht="14.4" hidden="1">
      <c r="A202" s="1113">
        <v>29</v>
      </c>
      <c r="B202" s="1088">
        <v>34.799999999999997</v>
      </c>
      <c r="C202" s="1088">
        <v>52.2</v>
      </c>
      <c r="D202" s="1088">
        <v>69.599999999999994</v>
      </c>
      <c r="E202" s="1088">
        <v>104.4</v>
      </c>
      <c r="F202" s="1112"/>
      <c r="G202" s="1048"/>
      <c r="H202" s="1048"/>
      <c r="I202" s="1048"/>
      <c r="J202" s="1048"/>
      <c r="K202" s="1048"/>
      <c r="L202" s="1048"/>
      <c r="M202" s="1113">
        <v>3100</v>
      </c>
      <c r="N202" s="1088">
        <v>52.08</v>
      </c>
      <c r="O202" s="1088">
        <v>78.12</v>
      </c>
      <c r="P202" s="1088">
        <v>104.16</v>
      </c>
      <c r="Q202" s="1102">
        <v>156.24</v>
      </c>
      <c r="R202" s="1048"/>
      <c r="S202" s="1116">
        <v>420</v>
      </c>
      <c r="T202" s="1100">
        <v>15.12</v>
      </c>
      <c r="U202" s="1088">
        <v>22.68</v>
      </c>
      <c r="V202" s="1088">
        <v>30.24</v>
      </c>
      <c r="W202" s="1102">
        <v>45.36</v>
      </c>
    </row>
    <row r="203" spans="1:23" ht="14.4" hidden="1">
      <c r="A203" s="1113">
        <v>30</v>
      </c>
      <c r="B203" s="1088">
        <v>36</v>
      </c>
      <c r="C203" s="1088">
        <v>54</v>
      </c>
      <c r="D203" s="1088">
        <v>72</v>
      </c>
      <c r="E203" s="1088">
        <v>108</v>
      </c>
      <c r="F203" s="1112"/>
      <c r="G203" s="1048"/>
      <c r="H203" s="1048"/>
      <c r="I203" s="1048"/>
      <c r="J203" s="1048"/>
      <c r="K203" s="1048"/>
      <c r="L203" s="1048"/>
      <c r="M203" s="1113">
        <v>3200</v>
      </c>
      <c r="N203" s="1088">
        <v>53.76</v>
      </c>
      <c r="O203" s="1088">
        <v>80.64</v>
      </c>
      <c r="P203" s="1088">
        <v>107.52</v>
      </c>
      <c r="Q203" s="1102">
        <v>161.28</v>
      </c>
      <c r="R203" s="1048"/>
      <c r="S203" s="1116">
        <v>430</v>
      </c>
      <c r="T203" s="1100">
        <v>15.48</v>
      </c>
      <c r="U203" s="1088">
        <v>23.28</v>
      </c>
      <c r="V203" s="1088">
        <v>30.96</v>
      </c>
      <c r="W203" s="1102">
        <v>46.44</v>
      </c>
    </row>
    <row r="204" spans="1:23" ht="14.4" hidden="1">
      <c r="A204" s="1113">
        <v>31</v>
      </c>
      <c r="B204" s="1088">
        <v>37.200000000000003</v>
      </c>
      <c r="C204" s="1088">
        <v>55.8</v>
      </c>
      <c r="D204" s="1088">
        <v>74.400000000000006</v>
      </c>
      <c r="E204" s="1088">
        <v>111.6</v>
      </c>
      <c r="F204" s="1112"/>
      <c r="G204" s="1048"/>
      <c r="H204" s="1048"/>
      <c r="I204" s="1048"/>
      <c r="J204" s="1048"/>
      <c r="K204" s="1048"/>
      <c r="L204" s="1048"/>
      <c r="M204" s="1113">
        <v>3300</v>
      </c>
      <c r="N204" s="1088">
        <v>55.44</v>
      </c>
      <c r="O204" s="1088">
        <v>83.16</v>
      </c>
      <c r="P204" s="1088">
        <v>110.88</v>
      </c>
      <c r="Q204" s="1102">
        <v>166.32</v>
      </c>
      <c r="R204" s="1048"/>
      <c r="S204" s="1116">
        <v>440</v>
      </c>
      <c r="T204" s="1100">
        <v>15.84</v>
      </c>
      <c r="U204" s="1088">
        <v>23.76</v>
      </c>
      <c r="V204" s="1088">
        <v>31.68</v>
      </c>
      <c r="W204" s="1102">
        <v>47.52</v>
      </c>
    </row>
    <row r="205" spans="1:23" ht="14.4" hidden="1">
      <c r="A205" s="1113">
        <v>32</v>
      </c>
      <c r="B205" s="1088">
        <v>38.4</v>
      </c>
      <c r="C205" s="1088">
        <v>57.6</v>
      </c>
      <c r="D205" s="1088">
        <v>76.8</v>
      </c>
      <c r="E205" s="1088">
        <v>115.2</v>
      </c>
      <c r="F205" s="1112"/>
      <c r="G205" s="1048"/>
      <c r="H205" s="1048"/>
      <c r="I205" s="1048"/>
      <c r="J205" s="1048"/>
      <c r="K205" s="1048"/>
      <c r="L205" s="1048"/>
      <c r="M205" s="1113">
        <v>3400</v>
      </c>
      <c r="N205" s="1088">
        <v>57.12</v>
      </c>
      <c r="O205" s="1088">
        <v>85.68</v>
      </c>
      <c r="P205" s="1088">
        <v>114.24</v>
      </c>
      <c r="Q205" s="1102">
        <v>171.36</v>
      </c>
      <c r="R205" s="1048"/>
      <c r="S205" s="1116">
        <v>450</v>
      </c>
      <c r="T205" s="1100">
        <v>16.2</v>
      </c>
      <c r="U205" s="1088">
        <v>24.36</v>
      </c>
      <c r="V205" s="1088">
        <v>32.4</v>
      </c>
      <c r="W205" s="1102">
        <v>48.6</v>
      </c>
    </row>
    <row r="206" spans="1:23" ht="15" hidden="1" thickBot="1">
      <c r="A206" s="1113">
        <v>33</v>
      </c>
      <c r="B206" s="1088">
        <v>39.6</v>
      </c>
      <c r="C206" s="1088">
        <v>59.4</v>
      </c>
      <c r="D206" s="1088">
        <v>79.2</v>
      </c>
      <c r="E206" s="1088">
        <v>118.8</v>
      </c>
      <c r="F206" s="1112"/>
      <c r="G206" s="1048"/>
      <c r="H206" s="1048"/>
      <c r="I206" s="1048"/>
      <c r="J206" s="1048"/>
      <c r="K206" s="1048"/>
      <c r="L206" s="1048"/>
      <c r="M206" s="1074">
        <v>3500</v>
      </c>
      <c r="N206" s="1105">
        <v>58.8</v>
      </c>
      <c r="O206" s="1105">
        <v>88.2</v>
      </c>
      <c r="P206" s="1105">
        <v>117.6</v>
      </c>
      <c r="Q206" s="1106">
        <v>176.4</v>
      </c>
      <c r="R206" s="1048"/>
      <c r="S206" s="1116">
        <v>460</v>
      </c>
      <c r="T206" s="1100">
        <v>16.559999999999999</v>
      </c>
      <c r="U206" s="1088">
        <v>24.84</v>
      </c>
      <c r="V206" s="1088">
        <v>33.119999999999997</v>
      </c>
      <c r="W206" s="1102">
        <v>49.68</v>
      </c>
    </row>
    <row r="207" spans="1:23" ht="14.4" hidden="1">
      <c r="A207" s="1113">
        <v>34</v>
      </c>
      <c r="B207" s="1088">
        <v>40.799999999999997</v>
      </c>
      <c r="C207" s="1088">
        <v>61.2</v>
      </c>
      <c r="D207" s="1088">
        <v>81.599999999999994</v>
      </c>
      <c r="E207" s="1088">
        <v>122.4</v>
      </c>
      <c r="F207" s="1112"/>
      <c r="G207" s="1048"/>
      <c r="H207" s="1048"/>
      <c r="I207" s="1048"/>
      <c r="J207" s="1048"/>
      <c r="K207" s="1048"/>
      <c r="L207" s="1048"/>
      <c r="M207" s="1048"/>
      <c r="N207" s="1048"/>
      <c r="O207" s="1048"/>
      <c r="P207" s="1048"/>
      <c r="Q207" s="1048"/>
      <c r="R207" s="1048"/>
      <c r="S207" s="1116">
        <v>470</v>
      </c>
      <c r="T207" s="1100">
        <v>16.920000000000002</v>
      </c>
      <c r="U207" s="1088">
        <v>25.44</v>
      </c>
      <c r="V207" s="1088">
        <v>33.840000000000003</v>
      </c>
      <c r="W207" s="1102">
        <v>50.76</v>
      </c>
    </row>
    <row r="208" spans="1:23" ht="14.4" hidden="1">
      <c r="A208" s="1113">
        <v>35</v>
      </c>
      <c r="B208" s="1088">
        <v>42</v>
      </c>
      <c r="C208" s="1088">
        <v>63</v>
      </c>
      <c r="D208" s="1088">
        <v>84</v>
      </c>
      <c r="E208" s="1088">
        <v>126</v>
      </c>
      <c r="F208" s="1112"/>
      <c r="G208" s="1048"/>
      <c r="H208" s="1048"/>
      <c r="I208" s="1048"/>
      <c r="J208" s="1048"/>
      <c r="K208" s="1048"/>
      <c r="L208" s="1048"/>
      <c r="M208" s="1087"/>
      <c r="N208" s="1048"/>
      <c r="O208" s="1048"/>
      <c r="P208" s="1048"/>
      <c r="Q208" s="1048"/>
      <c r="R208" s="1048"/>
      <c r="S208" s="1116">
        <v>480</v>
      </c>
      <c r="T208" s="1100">
        <v>17.28</v>
      </c>
      <c r="U208" s="1088">
        <v>25.92</v>
      </c>
      <c r="V208" s="1088">
        <v>34.56</v>
      </c>
      <c r="W208" s="1102">
        <v>51.84</v>
      </c>
    </row>
    <row r="209" spans="1:23" ht="15" hidden="1" thickBot="1">
      <c r="A209" s="1074">
        <v>36</v>
      </c>
      <c r="B209" s="1105">
        <v>43.2</v>
      </c>
      <c r="C209" s="1088">
        <v>64.8</v>
      </c>
      <c r="D209" s="1088">
        <v>86.4</v>
      </c>
      <c r="E209" s="1088">
        <v>129.6</v>
      </c>
      <c r="F209" s="1048"/>
      <c r="G209" s="1048"/>
      <c r="H209" s="1048"/>
      <c r="I209" s="1048"/>
      <c r="J209" s="1048"/>
      <c r="K209" s="1048"/>
      <c r="L209" s="1048"/>
      <c r="M209" s="1049"/>
      <c r="N209" s="1049"/>
      <c r="O209" s="1048"/>
      <c r="P209" s="1048"/>
      <c r="Q209" s="1048"/>
      <c r="R209" s="1048"/>
      <c r="S209" s="1116">
        <v>490</v>
      </c>
      <c r="T209" s="1100">
        <v>17.64</v>
      </c>
      <c r="U209" s="1088">
        <v>26.52</v>
      </c>
      <c r="V209" s="1088">
        <v>35.28</v>
      </c>
      <c r="W209" s="1102">
        <v>52.92</v>
      </c>
    </row>
    <row r="210" spans="1:23" ht="14.4" hidden="1">
      <c r="A210" s="1048"/>
      <c r="B210" s="1048"/>
      <c r="C210" s="1048"/>
      <c r="D210" s="1048"/>
      <c r="E210" s="1048"/>
      <c r="F210" s="1048"/>
      <c r="G210" s="1048"/>
      <c r="H210" s="1048"/>
      <c r="I210" s="1048"/>
      <c r="J210" s="1048"/>
      <c r="K210" s="1048"/>
      <c r="L210" s="1048"/>
      <c r="M210" s="1049"/>
      <c r="N210" s="1049"/>
      <c r="O210" s="1048"/>
      <c r="P210" s="1048"/>
      <c r="Q210" s="1048"/>
      <c r="R210" s="1048"/>
      <c r="S210" s="1116">
        <v>500</v>
      </c>
      <c r="T210" s="1100">
        <v>18</v>
      </c>
      <c r="U210" s="1088">
        <v>27</v>
      </c>
      <c r="V210" s="1088">
        <v>36</v>
      </c>
      <c r="W210" s="1102">
        <v>54</v>
      </c>
    </row>
    <row r="211" spans="1:23" ht="14.4" hidden="1">
      <c r="A211" s="1048"/>
      <c r="B211" s="1112"/>
      <c r="C211" s="1112"/>
      <c r="D211" s="1112"/>
      <c r="E211" s="1048"/>
      <c r="F211" s="1048"/>
      <c r="G211" s="1048"/>
      <c r="H211" s="1112"/>
      <c r="I211" s="1112"/>
      <c r="J211" s="1112"/>
      <c r="K211" s="1048"/>
      <c r="L211" s="1048"/>
      <c r="M211" s="1048"/>
      <c r="N211" s="1048"/>
      <c r="O211" s="1048"/>
      <c r="P211" s="1048"/>
      <c r="Q211" s="1048"/>
      <c r="R211" s="1049"/>
      <c r="S211" s="1116">
        <v>510</v>
      </c>
      <c r="T211" s="1100">
        <v>18.36</v>
      </c>
      <c r="U211" s="1088">
        <v>27.6</v>
      </c>
      <c r="V211" s="1088">
        <v>36.72</v>
      </c>
      <c r="W211" s="1102">
        <v>55.08</v>
      </c>
    </row>
    <row r="212" spans="1:23" ht="15" hidden="1" thickBot="1">
      <c r="A212" s="1112" t="s">
        <v>652</v>
      </c>
      <c r="B212" s="1112"/>
      <c r="C212" s="1112"/>
      <c r="D212" s="1112"/>
      <c r="E212" s="1048"/>
      <c r="F212" s="1048"/>
      <c r="G212" s="1112" t="s">
        <v>653</v>
      </c>
      <c r="H212" s="1112"/>
      <c r="I212" s="1112"/>
      <c r="J212" s="1112"/>
      <c r="K212" s="1048"/>
      <c r="L212" s="1048"/>
      <c r="M212" s="1112" t="s">
        <v>654</v>
      </c>
      <c r="N212" s="1112"/>
      <c r="O212" s="1112"/>
      <c r="P212" s="1112"/>
      <c r="Q212" s="1048"/>
      <c r="R212" s="1078"/>
      <c r="S212" s="1116">
        <v>520</v>
      </c>
      <c r="T212" s="1100">
        <v>18.72</v>
      </c>
      <c r="U212" s="1088">
        <v>28.08</v>
      </c>
      <c r="V212" s="1088">
        <v>37.44</v>
      </c>
      <c r="W212" s="1102">
        <v>56.16</v>
      </c>
    </row>
    <row r="213" spans="1:23" ht="14.4" hidden="1">
      <c r="A213" s="1117"/>
      <c r="B213" s="1118"/>
      <c r="C213" s="1119"/>
      <c r="D213" s="1120" t="s">
        <v>24</v>
      </c>
      <c r="E213" s="1048"/>
      <c r="F213" s="1048"/>
      <c r="G213" s="1117"/>
      <c r="H213" s="1118"/>
      <c r="I213" s="1119"/>
      <c r="J213" s="1120" t="s">
        <v>24</v>
      </c>
      <c r="K213" s="1048"/>
      <c r="L213" s="1048"/>
      <c r="M213" s="1117"/>
      <c r="N213" s="1118"/>
      <c r="O213" s="1119"/>
      <c r="P213" s="1120" t="s">
        <v>24</v>
      </c>
      <c r="Q213" s="1049"/>
      <c r="R213" s="1087"/>
      <c r="S213" s="1116">
        <v>530</v>
      </c>
      <c r="T213" s="1100">
        <v>19.079999999999998</v>
      </c>
      <c r="U213" s="1088">
        <v>28.68</v>
      </c>
      <c r="V213" s="1088">
        <v>38.159999999999997</v>
      </c>
      <c r="W213" s="1102">
        <v>57.24</v>
      </c>
    </row>
    <row r="214" spans="1:23" ht="15" hidden="1" thickBot="1">
      <c r="A214" s="1121"/>
      <c r="B214" s="1122" t="s">
        <v>14</v>
      </c>
      <c r="C214" s="1123" t="s">
        <v>74</v>
      </c>
      <c r="D214" s="1106" t="s">
        <v>75</v>
      </c>
      <c r="E214" s="1048"/>
      <c r="F214" s="1048"/>
      <c r="G214" s="1121"/>
      <c r="H214" s="1122" t="s">
        <v>14</v>
      </c>
      <c r="I214" s="1123" t="s">
        <v>74</v>
      </c>
      <c r="J214" s="1106" t="s">
        <v>75</v>
      </c>
      <c r="K214" s="1048"/>
      <c r="L214" s="1048"/>
      <c r="M214" s="1121"/>
      <c r="N214" s="1122" t="s">
        <v>14</v>
      </c>
      <c r="O214" s="1123" t="s">
        <v>74</v>
      </c>
      <c r="P214" s="1106" t="s">
        <v>75</v>
      </c>
      <c r="Q214" s="1078"/>
      <c r="R214" s="1049"/>
      <c r="S214" s="1116">
        <v>540</v>
      </c>
      <c r="T214" s="1100">
        <v>19.440000000000001</v>
      </c>
      <c r="U214" s="1088">
        <v>29.16</v>
      </c>
      <c r="V214" s="1088">
        <v>38.880000000000003</v>
      </c>
      <c r="W214" s="1102">
        <v>58.32</v>
      </c>
    </row>
    <row r="215" spans="1:23" ht="14.4" hidden="1">
      <c r="A215" s="1114">
        <v>1</v>
      </c>
      <c r="B215" s="1124" t="s">
        <v>19</v>
      </c>
      <c r="C215" s="1125">
        <v>500</v>
      </c>
      <c r="D215" s="1101">
        <v>0.6</v>
      </c>
      <c r="E215" s="1048"/>
      <c r="F215" s="1048"/>
      <c r="G215" s="1114">
        <v>1</v>
      </c>
      <c r="H215" s="1124" t="s">
        <v>19</v>
      </c>
      <c r="I215" s="1125">
        <v>500</v>
      </c>
      <c r="J215" s="1101">
        <v>0.6</v>
      </c>
      <c r="K215" s="1048"/>
      <c r="L215" s="1048"/>
      <c r="M215" s="1114">
        <v>1</v>
      </c>
      <c r="N215" s="1124" t="s">
        <v>19</v>
      </c>
      <c r="O215" s="1125">
        <v>500</v>
      </c>
      <c r="P215" s="1101">
        <v>0.6</v>
      </c>
      <c r="Q215" s="1087"/>
      <c r="R215" s="1049"/>
      <c r="S215" s="1116">
        <v>550</v>
      </c>
      <c r="T215" s="1100">
        <v>19.8</v>
      </c>
      <c r="U215" s="1088">
        <v>29.76</v>
      </c>
      <c r="V215" s="1088">
        <v>39.6</v>
      </c>
      <c r="W215" s="1102">
        <v>59.4</v>
      </c>
    </row>
    <row r="216" spans="1:23" ht="14.4" hidden="1">
      <c r="A216" s="1126">
        <v>2</v>
      </c>
      <c r="B216" s="1127" t="s">
        <v>611</v>
      </c>
      <c r="C216" s="1128">
        <v>3000</v>
      </c>
      <c r="D216" s="1102">
        <v>9</v>
      </c>
      <c r="E216" s="1048"/>
      <c r="F216" s="1048"/>
      <c r="G216" s="1126">
        <v>2</v>
      </c>
      <c r="H216" s="1127" t="s">
        <v>611</v>
      </c>
      <c r="I216" s="1128">
        <v>5500</v>
      </c>
      <c r="J216" s="1102">
        <v>17.399999999999999</v>
      </c>
      <c r="K216" s="1048"/>
      <c r="L216" s="1048"/>
      <c r="M216" s="1126">
        <v>2</v>
      </c>
      <c r="N216" s="1127" t="s">
        <v>611</v>
      </c>
      <c r="O216" s="1128">
        <v>8000</v>
      </c>
      <c r="P216" s="1102">
        <v>24.6</v>
      </c>
      <c r="Q216" s="1049"/>
      <c r="R216" s="1049"/>
      <c r="S216" s="1116">
        <v>560</v>
      </c>
      <c r="T216" s="1100">
        <v>20.16</v>
      </c>
      <c r="U216" s="1088">
        <v>30.24</v>
      </c>
      <c r="V216" s="1088">
        <v>40.32</v>
      </c>
      <c r="W216" s="1102">
        <v>60.48</v>
      </c>
    </row>
    <row r="217" spans="1:23" ht="15" hidden="1" thickBot="1">
      <c r="A217" s="1091">
        <v>3</v>
      </c>
      <c r="B217" s="1122" t="s">
        <v>656</v>
      </c>
      <c r="C217" s="1123">
        <v>1000</v>
      </c>
      <c r="D217" s="1106">
        <v>14.4</v>
      </c>
      <c r="E217" s="1048"/>
      <c r="F217" s="1048"/>
      <c r="G217" s="1091">
        <v>3</v>
      </c>
      <c r="H217" s="1122" t="s">
        <v>656</v>
      </c>
      <c r="I217" s="1123">
        <v>2000</v>
      </c>
      <c r="J217" s="1106">
        <v>30</v>
      </c>
      <c r="K217" s="1048"/>
      <c r="L217" s="1048"/>
      <c r="M217" s="1091">
        <v>3</v>
      </c>
      <c r="N217" s="1122" t="s">
        <v>656</v>
      </c>
      <c r="O217" s="1123">
        <v>3000</v>
      </c>
      <c r="P217" s="1106">
        <v>44.4</v>
      </c>
      <c r="Q217" s="1049"/>
      <c r="R217" s="1049"/>
      <c r="S217" s="1116">
        <v>570</v>
      </c>
      <c r="T217" s="1100">
        <v>20.52</v>
      </c>
      <c r="U217" s="1088">
        <v>30.84</v>
      </c>
      <c r="V217" s="1088">
        <v>41.04</v>
      </c>
      <c r="W217" s="1102">
        <v>61.56</v>
      </c>
    </row>
    <row r="218" spans="1:23" ht="15" hidden="1" thickBot="1">
      <c r="A218" s="1129"/>
      <c r="B218" s="1130" t="s">
        <v>23</v>
      </c>
      <c r="C218" s="1123"/>
      <c r="D218" s="1106">
        <f>SUM(D215:D217)</f>
        <v>24</v>
      </c>
      <c r="E218" s="1112"/>
      <c r="F218" s="1112"/>
      <c r="G218" s="1129"/>
      <c r="H218" s="1130" t="s">
        <v>23</v>
      </c>
      <c r="I218" s="1123"/>
      <c r="J218" s="1131">
        <f>SUM(J215:J217)</f>
        <v>48</v>
      </c>
      <c r="K218" s="1112"/>
      <c r="L218" s="1112"/>
      <c r="M218" s="1129"/>
      <c r="N218" s="1130" t="s">
        <v>23</v>
      </c>
      <c r="O218" s="1123"/>
      <c r="P218" s="1106">
        <f>SUM(P215:P217)</f>
        <v>69.599999999999994</v>
      </c>
      <c r="Q218" s="1049"/>
      <c r="R218" s="1049"/>
      <c r="S218" s="1116">
        <v>580</v>
      </c>
      <c r="T218" s="1100">
        <v>20.88</v>
      </c>
      <c r="U218" s="1088">
        <v>31.32</v>
      </c>
      <c r="V218" s="1088">
        <v>41.76</v>
      </c>
      <c r="W218" s="1102">
        <v>62.64</v>
      </c>
    </row>
    <row r="219" spans="1:23" ht="14.4" hidden="1">
      <c r="A219" s="1107"/>
      <c r="B219" s="1119" t="s">
        <v>72</v>
      </c>
      <c r="C219" s="1096"/>
      <c r="D219" s="1132">
        <f>sadzba_1baldeti/12</f>
        <v>2.2400000000000002</v>
      </c>
      <c r="E219" s="1048"/>
      <c r="F219" s="1048"/>
      <c r="G219" s="1112"/>
      <c r="H219" s="1119" t="s">
        <v>72</v>
      </c>
      <c r="I219" s="1112"/>
      <c r="J219" s="1132">
        <f>sadzba_2baldeti/12</f>
        <v>4.4800000000000004</v>
      </c>
      <c r="K219" s="1048"/>
      <c r="L219" s="1048"/>
      <c r="M219" s="1133"/>
      <c r="N219" s="1119" t="s">
        <v>72</v>
      </c>
      <c r="O219" s="1133"/>
      <c r="P219" s="1132">
        <f>sadzba_3baldeti/12</f>
        <v>6.5</v>
      </c>
      <c r="Q219" s="1049"/>
      <c r="R219" s="1049"/>
      <c r="S219" s="1116">
        <v>590</v>
      </c>
      <c r="T219" s="1100">
        <v>21.24</v>
      </c>
      <c r="U219" s="1088">
        <v>31.92</v>
      </c>
      <c r="V219" s="1088">
        <v>42.48</v>
      </c>
      <c r="W219" s="1102">
        <v>63.72</v>
      </c>
    </row>
    <row r="220" spans="1:23" ht="14.4" hidden="1">
      <c r="A220" s="1112"/>
      <c r="B220" s="1112"/>
      <c r="C220" s="1112"/>
      <c r="D220" s="1112"/>
      <c r="E220" s="1048"/>
      <c r="F220" s="1048"/>
      <c r="G220" s="1048"/>
      <c r="H220" s="1048"/>
      <c r="I220" s="1048"/>
      <c r="J220" s="1048"/>
      <c r="K220" s="1048"/>
      <c r="L220" s="1048"/>
      <c r="M220" s="1048"/>
      <c r="N220" s="1048"/>
      <c r="O220" s="1048"/>
      <c r="P220" s="1048"/>
      <c r="Q220" s="1049"/>
      <c r="R220" s="1049"/>
      <c r="S220" s="1116">
        <v>600</v>
      </c>
      <c r="T220" s="1100">
        <v>21.6</v>
      </c>
      <c r="U220" s="1088">
        <v>32.4</v>
      </c>
      <c r="V220" s="1088">
        <v>43.2</v>
      </c>
      <c r="W220" s="1102">
        <v>64.8</v>
      </c>
    </row>
    <row r="221" spans="1:23" ht="14.4" hidden="1">
      <c r="A221" s="1112"/>
      <c r="B221" s="1112"/>
      <c r="C221" s="1112"/>
      <c r="D221" s="1112"/>
      <c r="E221" s="1048"/>
      <c r="F221" s="1048"/>
      <c r="G221" s="1048"/>
      <c r="H221" s="1048"/>
      <c r="I221" s="1048"/>
      <c r="J221" s="1048"/>
      <c r="K221" s="1048"/>
      <c r="L221" s="1048"/>
      <c r="M221" s="1048"/>
      <c r="N221" s="1049"/>
      <c r="O221" s="1049"/>
      <c r="P221" s="1049"/>
      <c r="Q221" s="1049"/>
      <c r="R221" s="1049"/>
      <c r="S221" s="1116">
        <v>610</v>
      </c>
      <c r="T221" s="1100">
        <v>21.96</v>
      </c>
      <c r="U221" s="1088">
        <v>33</v>
      </c>
      <c r="V221" s="1088">
        <v>43.92</v>
      </c>
      <c r="W221" s="1102">
        <v>65.88</v>
      </c>
    </row>
    <row r="222" spans="1:23" ht="14.4" hidden="1">
      <c r="A222" s="1048"/>
      <c r="B222" s="1048"/>
      <c r="C222" s="1048"/>
      <c r="D222" s="1048"/>
      <c r="E222" s="1048"/>
      <c r="F222" s="1048"/>
      <c r="G222" s="1048"/>
      <c r="H222" s="1048"/>
      <c r="I222" s="1048"/>
      <c r="J222" s="1048"/>
      <c r="K222" s="1048"/>
      <c r="L222" s="1048"/>
      <c r="M222" s="1048"/>
      <c r="N222" s="1049"/>
      <c r="O222" s="1049"/>
      <c r="P222" s="1049"/>
      <c r="Q222" s="1049"/>
      <c r="R222" s="1049"/>
      <c r="S222" s="1116">
        <v>620</v>
      </c>
      <c r="T222" s="1100">
        <v>22.32</v>
      </c>
      <c r="U222" s="1088">
        <v>33.479999999999997</v>
      </c>
      <c r="V222" s="1088">
        <v>44.64</v>
      </c>
      <c r="W222" s="1102">
        <v>66.959999999999994</v>
      </c>
    </row>
    <row r="223" spans="1:23" ht="14.4" hidden="1">
      <c r="A223" s="1048"/>
      <c r="B223" s="1048"/>
      <c r="C223" s="1048"/>
      <c r="D223" s="1048"/>
      <c r="E223" s="1048"/>
      <c r="F223" s="1048"/>
      <c r="G223" s="1048"/>
      <c r="H223" s="1048"/>
      <c r="I223" s="1048"/>
      <c r="J223" s="1048"/>
      <c r="K223" s="1048"/>
      <c r="L223" s="1048"/>
      <c r="M223" s="1048"/>
      <c r="N223" s="1049"/>
      <c r="O223" s="1049"/>
      <c r="P223" s="1049"/>
      <c r="Q223" s="1049"/>
      <c r="R223" s="1049"/>
      <c r="S223" s="1116">
        <v>630</v>
      </c>
      <c r="T223" s="1100">
        <v>22.68</v>
      </c>
      <c r="U223" s="1088">
        <v>34.08</v>
      </c>
      <c r="V223" s="1088">
        <v>45.36</v>
      </c>
      <c r="W223" s="1102">
        <v>68.040000000000006</v>
      </c>
    </row>
    <row r="224" spans="1:23" ht="14.4" hidden="1">
      <c r="A224" s="1048"/>
      <c r="B224" s="1048"/>
      <c r="C224" s="1048"/>
      <c r="D224" s="1048"/>
      <c r="E224" s="1048"/>
      <c r="F224" s="1048"/>
      <c r="G224" s="1048"/>
      <c r="H224" s="1048"/>
      <c r="I224" s="1048"/>
      <c r="J224" s="1048"/>
      <c r="K224" s="1048"/>
      <c r="L224" s="1048"/>
      <c r="M224" s="1048"/>
      <c r="N224" s="1049"/>
      <c r="O224" s="1049"/>
      <c r="P224" s="1049"/>
      <c r="Q224" s="1049"/>
      <c r="R224" s="1049"/>
      <c r="S224" s="1116">
        <v>640</v>
      </c>
      <c r="T224" s="1100">
        <v>23.04</v>
      </c>
      <c r="U224" s="1088">
        <v>34.56</v>
      </c>
      <c r="V224" s="1088">
        <v>46.08</v>
      </c>
      <c r="W224" s="1102">
        <v>69.12</v>
      </c>
    </row>
    <row r="225" spans="1:23" ht="14.4" hidden="1">
      <c r="A225" s="1048"/>
      <c r="B225" s="1048"/>
      <c r="C225" s="1048"/>
      <c r="D225" s="1048"/>
      <c r="E225" s="1048"/>
      <c r="F225" s="1048"/>
      <c r="G225" s="1048"/>
      <c r="H225" s="1048"/>
      <c r="I225" s="1048"/>
      <c r="J225" s="1048"/>
      <c r="K225" s="1048"/>
      <c r="L225" s="1048"/>
      <c r="M225" s="1048"/>
      <c r="N225" s="1049"/>
      <c r="O225" s="1049"/>
      <c r="P225" s="1049"/>
      <c r="Q225" s="1049"/>
      <c r="R225" s="1049"/>
      <c r="S225" s="1116">
        <v>650</v>
      </c>
      <c r="T225" s="1100">
        <v>23.4</v>
      </c>
      <c r="U225" s="1088">
        <v>35.159999999999997</v>
      </c>
      <c r="V225" s="1088">
        <v>46.8</v>
      </c>
      <c r="W225" s="1102">
        <v>70.2</v>
      </c>
    </row>
    <row r="226" spans="1:23" ht="14.4" hidden="1">
      <c r="A226" s="1048"/>
      <c r="B226" s="1048"/>
      <c r="C226" s="1048"/>
      <c r="D226" s="1048"/>
      <c r="E226" s="1048"/>
      <c r="F226" s="1048"/>
      <c r="G226" s="1048"/>
      <c r="H226" s="1048"/>
      <c r="I226" s="1048"/>
      <c r="J226" s="1048"/>
      <c r="K226" s="1048"/>
      <c r="L226" s="1048"/>
      <c r="M226" s="1048"/>
      <c r="N226" s="1049"/>
      <c r="O226" s="1049"/>
      <c r="P226" s="1049"/>
      <c r="Q226" s="1049"/>
      <c r="R226" s="1049"/>
      <c r="S226" s="1116">
        <v>660</v>
      </c>
      <c r="T226" s="1100">
        <v>23.76</v>
      </c>
      <c r="U226" s="1088">
        <v>35.64</v>
      </c>
      <c r="V226" s="1088">
        <v>47.52</v>
      </c>
      <c r="W226" s="1102">
        <v>71.28</v>
      </c>
    </row>
    <row r="227" spans="1:23" ht="15" hidden="1" thickBot="1">
      <c r="A227" s="1048"/>
      <c r="B227" s="1048"/>
      <c r="C227" s="1048"/>
      <c r="D227" s="1048"/>
      <c r="E227" s="1048"/>
      <c r="F227" s="1048"/>
      <c r="G227" s="1048"/>
      <c r="H227" s="1048"/>
      <c r="I227" s="1048"/>
      <c r="J227" s="1048"/>
      <c r="K227" s="1048"/>
      <c r="L227" s="1048"/>
      <c r="M227" s="1048"/>
      <c r="N227" s="1049"/>
      <c r="O227" s="1049"/>
      <c r="P227" s="1049"/>
      <c r="Q227" s="1049"/>
      <c r="R227" s="1049"/>
      <c r="S227" s="1134">
        <v>670</v>
      </c>
      <c r="T227" s="1100">
        <v>24.12</v>
      </c>
      <c r="U227" s="1088">
        <v>36.24</v>
      </c>
      <c r="V227" s="1088">
        <v>48.24</v>
      </c>
      <c r="W227" s="1102">
        <v>72.36</v>
      </c>
    </row>
  </sheetData>
  <sheetProtection password="801E" sheet="1" objects="1" scenarios="1"/>
  <mergeCells count="12">
    <mergeCell ref="T173:W173"/>
    <mergeCell ref="A116:C116"/>
    <mergeCell ref="G116:I116"/>
    <mergeCell ref="N142:P142"/>
    <mergeCell ref="B173:E173"/>
    <mergeCell ref="H173:K173"/>
    <mergeCell ref="T58:W58"/>
    <mergeCell ref="N27:P27"/>
    <mergeCell ref="A1:C1"/>
    <mergeCell ref="G1:I1"/>
    <mergeCell ref="B58:E58"/>
    <mergeCell ref="H58:K58"/>
  </mergeCells>
  <phoneticPr fontId="4" type="noConversion"/>
  <printOptions horizontalCentered="1"/>
  <pageMargins left="0.4" right="0.4" top="0.4" bottom="0.4" header="0.2" footer="0.2"/>
  <pageSetup paperSize="9" orientation="landscape" horizontalDpi="4294967292" verticalDpi="300"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3">
    <tabColor theme="9" tint="-0.249977111117893"/>
  </sheetPr>
  <dimension ref="A1:V107"/>
  <sheetViews>
    <sheetView zoomScale="80" zoomScaleNormal="80" workbookViewId="0">
      <selection activeCell="AF40" sqref="AF40"/>
    </sheetView>
  </sheetViews>
  <sheetFormatPr defaultColWidth="9.109375" defaultRowHeight="13.2"/>
  <cols>
    <col min="1" max="16384" width="9.109375" style="684"/>
  </cols>
  <sheetData>
    <row r="1" spans="1:22">
      <c r="A1" s="987"/>
      <c r="B1" s="987"/>
      <c r="C1" s="987"/>
      <c r="D1" s="987"/>
      <c r="E1" s="987"/>
      <c r="F1" s="987"/>
      <c r="G1" s="987"/>
      <c r="H1" s="987"/>
      <c r="I1" s="987"/>
      <c r="J1" s="987"/>
      <c r="K1" s="987"/>
      <c r="L1" s="987"/>
      <c r="M1" s="987"/>
      <c r="N1" s="987"/>
      <c r="O1" s="987"/>
      <c r="P1" s="987"/>
      <c r="Q1" s="987"/>
      <c r="R1" s="987"/>
      <c r="S1" s="987"/>
      <c r="T1" s="987"/>
      <c r="U1" s="987"/>
      <c r="V1" s="987"/>
    </row>
    <row r="2" spans="1:22" ht="15.6">
      <c r="A2" s="988" t="s">
        <v>864</v>
      </c>
      <c r="B2" s="987"/>
      <c r="C2" s="987"/>
      <c r="D2" s="987"/>
      <c r="E2" s="987"/>
      <c r="F2" s="987"/>
      <c r="G2" s="987"/>
      <c r="H2" s="987"/>
      <c r="I2" s="987"/>
      <c r="J2" s="987"/>
      <c r="K2" s="987"/>
      <c r="L2" s="987"/>
      <c r="M2" s="987"/>
      <c r="N2" s="987"/>
      <c r="O2" s="987"/>
      <c r="P2" s="987"/>
      <c r="Q2" s="987"/>
      <c r="R2" s="987"/>
      <c r="S2" s="987"/>
      <c r="T2" s="987"/>
      <c r="U2" s="987"/>
      <c r="V2" s="987"/>
    </row>
    <row r="3" spans="1:22">
      <c r="A3" s="987"/>
      <c r="B3" s="987"/>
      <c r="C3" s="987"/>
      <c r="D3" s="987"/>
      <c r="E3" s="987"/>
      <c r="F3" s="987"/>
      <c r="G3" s="987"/>
      <c r="H3" s="987"/>
      <c r="I3" s="987"/>
      <c r="J3" s="987"/>
      <c r="K3" s="987"/>
      <c r="L3" s="987"/>
      <c r="M3" s="987"/>
      <c r="N3" s="987"/>
      <c r="O3" s="987"/>
      <c r="P3" s="987"/>
      <c r="Q3" s="987"/>
      <c r="R3" s="987"/>
      <c r="S3" s="987"/>
      <c r="T3" s="987"/>
      <c r="U3" s="987"/>
      <c r="V3" s="987"/>
    </row>
    <row r="4" spans="1:22" ht="18">
      <c r="A4" s="989"/>
      <c r="B4" s="990"/>
      <c r="C4" s="991" t="s">
        <v>865</v>
      </c>
      <c r="D4" s="990"/>
      <c r="E4" s="990"/>
      <c r="F4" s="990"/>
      <c r="G4" s="990"/>
      <c r="H4" s="990"/>
      <c r="I4" s="990"/>
      <c r="J4" s="990"/>
      <c r="K4" s="990"/>
      <c r="L4" s="990"/>
      <c r="M4" s="990"/>
      <c r="N4" s="991" t="s">
        <v>866</v>
      </c>
      <c r="O4" s="990"/>
      <c r="P4" s="990"/>
      <c r="Q4" s="990"/>
      <c r="R4" s="990"/>
      <c r="S4" s="990"/>
      <c r="T4" s="990"/>
      <c r="U4" s="990"/>
      <c r="V4" s="990"/>
    </row>
    <row r="5" spans="1:22" ht="15.6">
      <c r="A5" s="1330" t="s">
        <v>867</v>
      </c>
      <c r="B5" s="1330"/>
      <c r="C5" s="1330"/>
      <c r="D5" s="1330"/>
      <c r="E5" s="1330"/>
      <c r="F5" s="1330"/>
      <c r="G5" s="1330"/>
      <c r="H5" s="1330"/>
      <c r="I5" s="987"/>
      <c r="J5" s="992"/>
      <c r="K5" s="987"/>
      <c r="L5" s="1330" t="s">
        <v>868</v>
      </c>
      <c r="M5" s="1330"/>
      <c r="N5" s="1330"/>
      <c r="O5" s="1330"/>
      <c r="P5" s="1330"/>
      <c r="Q5" s="1330"/>
      <c r="R5" s="1330"/>
      <c r="S5" s="1330"/>
      <c r="T5" s="987"/>
      <c r="U5" s="987"/>
      <c r="V5" s="987"/>
    </row>
    <row r="6" spans="1:22" ht="15.6">
      <c r="A6" s="1330"/>
      <c r="B6" s="1330"/>
      <c r="C6" s="1330"/>
      <c r="D6" s="1330"/>
      <c r="E6" s="1330"/>
      <c r="F6" s="1330"/>
      <c r="G6" s="1330"/>
      <c r="H6" s="1330"/>
      <c r="I6" s="992"/>
      <c r="J6" s="992"/>
      <c r="K6" s="992"/>
      <c r="L6" s="992"/>
      <c r="M6" s="992"/>
      <c r="N6" s="992"/>
      <c r="O6" s="992"/>
      <c r="P6" s="992"/>
      <c r="Q6" s="987"/>
      <c r="R6" s="987"/>
      <c r="S6" s="987"/>
      <c r="T6" s="987"/>
      <c r="U6" s="987"/>
      <c r="V6" s="987"/>
    </row>
    <row r="7" spans="1:22">
      <c r="A7" s="987"/>
      <c r="B7" s="987"/>
      <c r="C7" s="987"/>
      <c r="D7" s="987"/>
      <c r="E7" s="987"/>
      <c r="F7" s="987"/>
      <c r="G7" s="987"/>
      <c r="H7" s="987"/>
      <c r="I7" s="987"/>
      <c r="J7" s="987"/>
      <c r="K7" s="987"/>
      <c r="L7" s="987"/>
      <c r="M7" s="987"/>
      <c r="N7" s="987"/>
      <c r="O7" s="987"/>
      <c r="P7" s="987"/>
      <c r="Q7" s="987"/>
      <c r="R7" s="987"/>
      <c r="S7" s="987"/>
      <c r="T7" s="987"/>
      <c r="U7" s="987"/>
      <c r="V7" s="987"/>
    </row>
    <row r="8" spans="1:22">
      <c r="A8" s="987"/>
      <c r="B8" s="987"/>
      <c r="C8" s="987"/>
      <c r="D8" s="987"/>
      <c r="E8" s="987"/>
      <c r="F8" s="987"/>
      <c r="G8" s="987"/>
      <c r="H8" s="987"/>
      <c r="I8" s="987"/>
      <c r="J8" s="987"/>
      <c r="K8" s="987"/>
      <c r="L8" s="987"/>
      <c r="M8" s="987"/>
      <c r="N8" s="987"/>
      <c r="O8" s="987"/>
      <c r="P8" s="987"/>
      <c r="Q8" s="987"/>
      <c r="R8" s="987"/>
      <c r="S8" s="987"/>
      <c r="T8" s="987"/>
      <c r="U8" s="987"/>
      <c r="V8" s="987"/>
    </row>
    <row r="9" spans="1:22">
      <c r="A9" s="987"/>
      <c r="B9" s="987"/>
      <c r="C9" s="987"/>
      <c r="D9" s="987"/>
      <c r="E9" s="987"/>
      <c r="F9" s="987"/>
      <c r="G9" s="987"/>
      <c r="H9" s="987"/>
      <c r="I9" s="987"/>
      <c r="J9" s="987"/>
      <c r="K9" s="987"/>
      <c r="L9" s="987"/>
      <c r="M9" s="987"/>
      <c r="N9" s="987"/>
      <c r="O9" s="987"/>
      <c r="P9" s="987"/>
      <c r="Q9" s="987"/>
      <c r="R9" s="987"/>
      <c r="S9" s="987"/>
      <c r="T9" s="987"/>
      <c r="U9" s="987"/>
      <c r="V9" s="987"/>
    </row>
    <row r="10" spans="1:22">
      <c r="A10" s="987"/>
      <c r="B10" s="987"/>
      <c r="C10" s="987"/>
      <c r="D10" s="987"/>
      <c r="E10" s="987"/>
      <c r="F10" s="987"/>
      <c r="G10" s="987"/>
      <c r="H10" s="987"/>
      <c r="I10" s="987"/>
      <c r="J10" s="987"/>
      <c r="K10" s="987"/>
      <c r="L10" s="987"/>
      <c r="M10" s="987"/>
      <c r="N10" s="987"/>
      <c r="O10" s="987"/>
      <c r="P10" s="987"/>
      <c r="Q10" s="987"/>
      <c r="R10" s="987"/>
      <c r="S10" s="987"/>
      <c r="T10" s="987"/>
      <c r="U10" s="987"/>
      <c r="V10" s="987"/>
    </row>
    <row r="11" spans="1:22">
      <c r="A11" s="987"/>
      <c r="B11" s="987"/>
      <c r="C11" s="987"/>
      <c r="D11" s="987"/>
      <c r="E11" s="987"/>
      <c r="F11" s="987"/>
      <c r="G11" s="987"/>
      <c r="H11" s="987"/>
      <c r="I11" s="987"/>
      <c r="J11" s="987"/>
      <c r="K11" s="987"/>
      <c r="L11" s="987"/>
      <c r="M11" s="987"/>
      <c r="N11" s="987"/>
      <c r="O11" s="987"/>
      <c r="P11" s="987"/>
      <c r="Q11" s="987"/>
      <c r="R11" s="987"/>
      <c r="S11" s="987"/>
      <c r="T11" s="987"/>
      <c r="U11" s="987"/>
      <c r="V11" s="987"/>
    </row>
    <row r="12" spans="1:22">
      <c r="A12" s="987"/>
      <c r="B12" s="987"/>
      <c r="C12" s="987"/>
      <c r="D12" s="987"/>
      <c r="E12" s="987"/>
      <c r="F12" s="987"/>
      <c r="G12" s="987"/>
      <c r="H12" s="987"/>
      <c r="I12" s="987"/>
      <c r="J12" s="987"/>
      <c r="K12" s="987"/>
      <c r="L12" s="987"/>
      <c r="M12" s="987"/>
      <c r="N12" s="987"/>
      <c r="O12" s="987"/>
      <c r="P12" s="987"/>
      <c r="Q12" s="987"/>
      <c r="R12" s="987"/>
      <c r="S12" s="987"/>
      <c r="T12" s="987"/>
      <c r="U12" s="987"/>
      <c r="V12" s="987"/>
    </row>
    <row r="13" spans="1:22">
      <c r="A13" s="987"/>
      <c r="B13" s="987"/>
      <c r="C13" s="987"/>
      <c r="D13" s="987"/>
      <c r="E13" s="987"/>
      <c r="F13" s="987"/>
      <c r="G13" s="987"/>
      <c r="H13" s="987"/>
      <c r="I13" s="987"/>
      <c r="J13" s="987"/>
      <c r="K13" s="987"/>
      <c r="L13" s="987"/>
      <c r="M13" s="987"/>
      <c r="N13" s="987"/>
      <c r="O13" s="987"/>
      <c r="P13" s="987"/>
      <c r="Q13" s="987"/>
      <c r="R13" s="987"/>
      <c r="S13" s="987"/>
      <c r="T13" s="987"/>
      <c r="U13" s="987"/>
      <c r="V13" s="987"/>
    </row>
    <row r="14" spans="1:22">
      <c r="A14" s="987"/>
      <c r="B14" s="987"/>
      <c r="C14" s="987"/>
      <c r="D14" s="987"/>
      <c r="E14" s="987"/>
      <c r="F14" s="987"/>
      <c r="G14" s="987"/>
      <c r="H14" s="987"/>
      <c r="I14" s="987"/>
      <c r="J14" s="987"/>
      <c r="K14" s="987"/>
      <c r="L14" s="987"/>
      <c r="M14" s="987"/>
      <c r="N14" s="987"/>
      <c r="O14" s="987"/>
      <c r="P14" s="987"/>
      <c r="Q14" s="987"/>
      <c r="R14" s="987"/>
      <c r="S14" s="987"/>
      <c r="T14" s="987"/>
      <c r="U14" s="987"/>
      <c r="V14" s="987"/>
    </row>
    <row r="15" spans="1:22">
      <c r="A15" s="987"/>
      <c r="B15" s="987"/>
      <c r="C15" s="987"/>
      <c r="D15" s="987"/>
      <c r="E15" s="987"/>
      <c r="F15" s="987"/>
      <c r="G15" s="987"/>
      <c r="H15" s="987"/>
      <c r="I15" s="987"/>
      <c r="J15" s="987"/>
      <c r="K15" s="987"/>
      <c r="L15" s="987"/>
      <c r="M15" s="987"/>
      <c r="N15" s="987"/>
      <c r="O15" s="987"/>
      <c r="P15" s="987"/>
      <c r="Q15" s="987"/>
      <c r="R15" s="987"/>
      <c r="S15" s="987"/>
      <c r="T15" s="987"/>
      <c r="U15" s="987"/>
      <c r="V15" s="987"/>
    </row>
    <row r="16" spans="1:22">
      <c r="A16" s="987"/>
      <c r="B16" s="987"/>
      <c r="C16" s="987"/>
      <c r="D16" s="987"/>
      <c r="E16" s="987"/>
      <c r="F16" s="987"/>
      <c r="G16" s="987"/>
      <c r="H16" s="987"/>
      <c r="I16" s="987"/>
      <c r="J16" s="987"/>
      <c r="K16" s="987"/>
      <c r="L16" s="987"/>
      <c r="M16" s="987"/>
      <c r="N16" s="987"/>
      <c r="O16" s="987"/>
      <c r="P16" s="987"/>
      <c r="Q16" s="987"/>
      <c r="R16" s="987"/>
      <c r="S16" s="987"/>
      <c r="T16" s="987"/>
      <c r="U16" s="987"/>
      <c r="V16" s="987"/>
    </row>
    <row r="17" spans="1:22">
      <c r="A17" s="987"/>
      <c r="B17" s="987"/>
      <c r="C17" s="987"/>
      <c r="D17" s="987"/>
      <c r="E17" s="987"/>
      <c r="F17" s="987"/>
      <c r="G17" s="987"/>
      <c r="H17" s="987"/>
      <c r="I17" s="987"/>
      <c r="J17" s="987"/>
      <c r="K17" s="987"/>
      <c r="L17" s="987"/>
      <c r="M17" s="987"/>
      <c r="N17" s="987"/>
      <c r="O17" s="987"/>
      <c r="P17" s="987"/>
      <c r="Q17" s="987"/>
      <c r="R17" s="987"/>
      <c r="S17" s="987"/>
      <c r="T17" s="987"/>
      <c r="U17" s="987"/>
      <c r="V17" s="987"/>
    </row>
    <row r="18" spans="1:22">
      <c r="A18" s="987"/>
      <c r="B18" s="987"/>
      <c r="C18" s="987"/>
      <c r="D18" s="987"/>
      <c r="E18" s="987"/>
      <c r="F18" s="987"/>
      <c r="G18" s="987"/>
      <c r="H18" s="987"/>
      <c r="I18" s="987"/>
      <c r="J18" s="987"/>
      <c r="K18" s="987"/>
      <c r="L18" s="987"/>
      <c r="M18" s="987"/>
      <c r="N18" s="987"/>
      <c r="O18" s="987"/>
      <c r="P18" s="987"/>
      <c r="Q18" s="987"/>
      <c r="R18" s="987"/>
      <c r="S18" s="987"/>
      <c r="T18" s="987"/>
      <c r="U18" s="987"/>
      <c r="V18" s="987"/>
    </row>
    <row r="19" spans="1:22">
      <c r="A19" s="987"/>
      <c r="B19" s="987"/>
      <c r="C19" s="987"/>
      <c r="D19" s="987"/>
      <c r="E19" s="987"/>
      <c r="F19" s="987"/>
      <c r="G19" s="987"/>
      <c r="H19" s="987"/>
      <c r="I19" s="987"/>
      <c r="J19" s="987"/>
      <c r="K19" s="987"/>
      <c r="L19" s="987"/>
      <c r="M19" s="987"/>
      <c r="N19" s="987"/>
      <c r="O19" s="987"/>
      <c r="P19" s="987"/>
      <c r="Q19" s="987"/>
      <c r="R19" s="987"/>
      <c r="S19" s="987"/>
      <c r="T19" s="987"/>
      <c r="U19" s="987"/>
      <c r="V19" s="987"/>
    </row>
    <row r="20" spans="1:22">
      <c r="A20" s="987"/>
      <c r="B20" s="987"/>
      <c r="C20" s="987"/>
      <c r="D20" s="987"/>
      <c r="E20" s="987"/>
      <c r="F20" s="987"/>
      <c r="G20" s="987"/>
      <c r="H20" s="987"/>
      <c r="I20" s="987"/>
      <c r="J20" s="987"/>
      <c r="K20" s="987"/>
      <c r="L20" s="987"/>
      <c r="M20" s="987"/>
      <c r="N20" s="987"/>
      <c r="O20" s="987"/>
      <c r="P20" s="987"/>
      <c r="Q20" s="987"/>
      <c r="R20" s="987"/>
      <c r="S20" s="987"/>
      <c r="T20" s="987"/>
      <c r="U20" s="987"/>
      <c r="V20" s="987"/>
    </row>
    <row r="21" spans="1:22">
      <c r="A21" s="987"/>
      <c r="B21" s="987"/>
      <c r="C21" s="987"/>
      <c r="D21" s="987"/>
      <c r="E21" s="987"/>
      <c r="F21" s="987"/>
      <c r="G21" s="987"/>
      <c r="H21" s="987"/>
      <c r="I21" s="987"/>
      <c r="J21" s="987"/>
      <c r="K21" s="987"/>
      <c r="L21" s="987"/>
      <c r="M21" s="987"/>
      <c r="N21" s="987"/>
      <c r="O21" s="987"/>
      <c r="P21" s="987"/>
      <c r="Q21" s="987"/>
      <c r="R21" s="987"/>
      <c r="S21" s="987"/>
      <c r="T21" s="987"/>
      <c r="U21" s="987"/>
      <c r="V21" s="987"/>
    </row>
    <row r="22" spans="1:22">
      <c r="A22" s="987"/>
      <c r="B22" s="987"/>
      <c r="C22" s="987"/>
      <c r="D22" s="987"/>
      <c r="E22" s="987"/>
      <c r="F22" s="987"/>
      <c r="G22" s="987"/>
      <c r="H22" s="987"/>
      <c r="I22" s="987"/>
      <c r="J22" s="987"/>
      <c r="K22" s="987"/>
      <c r="L22" s="987"/>
      <c r="M22" s="987"/>
      <c r="N22" s="987"/>
      <c r="O22" s="987"/>
      <c r="P22" s="987"/>
      <c r="Q22" s="987"/>
      <c r="R22" s="987"/>
      <c r="S22" s="987"/>
      <c r="T22" s="987"/>
      <c r="U22" s="987"/>
      <c r="V22" s="987"/>
    </row>
    <row r="23" spans="1:22">
      <c r="A23" s="987"/>
      <c r="B23" s="987"/>
      <c r="C23" s="987"/>
      <c r="D23" s="987"/>
      <c r="E23" s="987"/>
      <c r="F23" s="987"/>
      <c r="G23" s="987"/>
      <c r="H23" s="987"/>
      <c r="I23" s="987"/>
      <c r="J23" s="987"/>
      <c r="K23" s="987"/>
      <c r="L23" s="987"/>
      <c r="M23" s="987"/>
      <c r="N23" s="987"/>
      <c r="O23" s="987"/>
      <c r="P23" s="987"/>
      <c r="Q23" s="987"/>
      <c r="R23" s="987"/>
      <c r="S23" s="987"/>
      <c r="T23" s="987"/>
      <c r="U23" s="987"/>
      <c r="V23" s="987"/>
    </row>
    <row r="24" spans="1:22">
      <c r="A24" s="987"/>
      <c r="B24" s="987"/>
      <c r="C24" s="987"/>
      <c r="D24" s="987"/>
      <c r="E24" s="987"/>
      <c r="F24" s="987"/>
      <c r="G24" s="987"/>
      <c r="H24" s="987"/>
      <c r="I24" s="987"/>
      <c r="J24" s="987"/>
      <c r="K24" s="987"/>
      <c r="L24" s="987"/>
      <c r="M24" s="987"/>
      <c r="N24" s="987"/>
      <c r="O24" s="987"/>
      <c r="P24" s="987"/>
      <c r="Q24" s="987"/>
      <c r="R24" s="987"/>
      <c r="S24" s="987"/>
      <c r="T24" s="987"/>
      <c r="U24" s="987"/>
      <c r="V24" s="987"/>
    </row>
    <row r="25" spans="1:22">
      <c r="A25" s="987"/>
      <c r="B25" s="987"/>
      <c r="C25" s="987"/>
      <c r="D25" s="987"/>
      <c r="E25" s="987"/>
      <c r="F25" s="987"/>
      <c r="G25" s="987"/>
      <c r="H25" s="987"/>
      <c r="I25" s="987"/>
      <c r="J25" s="987"/>
      <c r="K25" s="987"/>
      <c r="L25" s="987"/>
      <c r="M25" s="987"/>
      <c r="N25" s="987"/>
      <c r="O25" s="987"/>
      <c r="P25" s="987"/>
      <c r="Q25" s="987"/>
      <c r="R25" s="987"/>
      <c r="S25" s="987"/>
      <c r="T25" s="987"/>
      <c r="U25" s="987"/>
      <c r="V25" s="987"/>
    </row>
    <row r="26" spans="1:22">
      <c r="A26" s="987"/>
      <c r="B26" s="987"/>
      <c r="C26" s="987"/>
      <c r="D26" s="987"/>
      <c r="E26" s="987"/>
      <c r="F26" s="987"/>
      <c r="G26" s="987"/>
      <c r="H26" s="987"/>
      <c r="I26" s="987"/>
      <c r="J26" s="987"/>
      <c r="K26" s="987"/>
      <c r="L26" s="987"/>
      <c r="M26" s="987"/>
      <c r="N26" s="987"/>
      <c r="O26" s="987"/>
      <c r="P26" s="987"/>
      <c r="Q26" s="987"/>
      <c r="R26" s="987"/>
      <c r="S26" s="987"/>
      <c r="T26" s="987"/>
      <c r="U26" s="987"/>
      <c r="V26" s="987"/>
    </row>
    <row r="27" spans="1:22">
      <c r="A27" s="987"/>
      <c r="B27" s="987"/>
      <c r="C27" s="987"/>
      <c r="D27" s="987"/>
      <c r="E27" s="987"/>
      <c r="F27" s="987"/>
      <c r="G27" s="987"/>
      <c r="H27" s="987"/>
      <c r="I27" s="987"/>
      <c r="J27" s="987"/>
      <c r="K27" s="987"/>
      <c r="L27" s="987"/>
      <c r="M27" s="987"/>
      <c r="N27" s="987"/>
      <c r="O27" s="987"/>
      <c r="P27" s="987"/>
      <c r="Q27" s="987"/>
      <c r="R27" s="987"/>
      <c r="S27" s="987"/>
      <c r="T27" s="987"/>
      <c r="U27" s="987"/>
      <c r="V27" s="987"/>
    </row>
    <row r="28" spans="1:22">
      <c r="A28" s="987"/>
      <c r="B28" s="987"/>
      <c r="C28" s="987"/>
      <c r="D28" s="987"/>
      <c r="E28" s="987"/>
      <c r="F28" s="987"/>
      <c r="G28" s="987"/>
      <c r="H28" s="987"/>
      <c r="I28" s="987"/>
      <c r="J28" s="987"/>
      <c r="K28" s="987"/>
      <c r="L28" s="987"/>
      <c r="M28" s="987"/>
      <c r="N28" s="987"/>
      <c r="O28" s="987"/>
      <c r="P28" s="987"/>
      <c r="Q28" s="987"/>
      <c r="R28" s="987"/>
      <c r="S28" s="987"/>
      <c r="T28" s="987"/>
      <c r="U28" s="987"/>
      <c r="V28" s="987"/>
    </row>
    <row r="29" spans="1:22">
      <c r="A29" s="987"/>
      <c r="B29" s="987"/>
      <c r="C29" s="987"/>
      <c r="D29" s="987"/>
      <c r="E29" s="987"/>
      <c r="F29" s="987"/>
      <c r="G29" s="987"/>
      <c r="H29" s="987"/>
      <c r="I29" s="987"/>
      <c r="J29" s="987"/>
      <c r="K29" s="987"/>
      <c r="L29" s="987"/>
      <c r="M29" s="987"/>
      <c r="N29" s="987"/>
      <c r="O29" s="987"/>
      <c r="P29" s="987"/>
      <c r="Q29" s="987"/>
      <c r="R29" s="987"/>
      <c r="S29" s="987"/>
      <c r="T29" s="987"/>
      <c r="U29" s="987"/>
      <c r="V29" s="987"/>
    </row>
    <row r="30" spans="1:22">
      <c r="A30" s="987"/>
      <c r="B30" s="987"/>
      <c r="C30" s="987"/>
      <c r="D30" s="987"/>
      <c r="E30" s="987"/>
      <c r="F30" s="987"/>
      <c r="G30" s="987"/>
      <c r="H30" s="987"/>
      <c r="I30" s="987"/>
      <c r="J30" s="987"/>
      <c r="K30" s="987"/>
      <c r="L30" s="987"/>
      <c r="M30" s="987"/>
      <c r="N30" s="987"/>
      <c r="O30" s="987"/>
      <c r="P30" s="987"/>
      <c r="Q30" s="987"/>
      <c r="R30" s="987"/>
      <c r="S30" s="987"/>
      <c r="T30" s="987"/>
      <c r="U30" s="987"/>
      <c r="V30" s="987"/>
    </row>
    <row r="31" spans="1:22">
      <c r="A31" s="987"/>
      <c r="B31" s="987"/>
      <c r="C31" s="987"/>
      <c r="D31" s="987"/>
      <c r="E31" s="987"/>
      <c r="F31" s="987"/>
      <c r="G31" s="987"/>
      <c r="H31" s="987"/>
      <c r="I31" s="987"/>
      <c r="J31" s="987"/>
      <c r="K31" s="987"/>
      <c r="L31" s="987"/>
      <c r="M31" s="987"/>
      <c r="N31" s="987"/>
      <c r="O31" s="987"/>
      <c r="P31" s="987"/>
      <c r="Q31" s="987"/>
      <c r="R31" s="987"/>
      <c r="S31" s="987"/>
      <c r="T31" s="987"/>
      <c r="U31" s="987"/>
      <c r="V31" s="987"/>
    </row>
    <row r="32" spans="1:22">
      <c r="A32" s="987"/>
      <c r="B32" s="987"/>
      <c r="C32" s="987"/>
      <c r="D32" s="987"/>
      <c r="E32" s="987"/>
      <c r="F32" s="987"/>
      <c r="G32" s="987"/>
      <c r="H32" s="987"/>
      <c r="I32" s="987"/>
      <c r="J32" s="987"/>
      <c r="K32" s="987"/>
      <c r="L32" s="987"/>
      <c r="M32" s="987"/>
      <c r="N32" s="987"/>
      <c r="O32" s="987"/>
      <c r="P32" s="987"/>
      <c r="Q32" s="987"/>
      <c r="R32" s="987"/>
      <c r="S32" s="987"/>
      <c r="T32" s="987"/>
      <c r="U32" s="987"/>
      <c r="V32" s="987"/>
    </row>
    <row r="33" spans="1:22" ht="15.6">
      <c r="A33" s="1330" t="s">
        <v>869</v>
      </c>
      <c r="B33" s="1330"/>
      <c r="C33" s="1330"/>
      <c r="D33" s="1330"/>
      <c r="E33" s="1330"/>
      <c r="F33" s="1330"/>
      <c r="G33" s="1330"/>
      <c r="H33" s="1330"/>
      <c r="I33" s="987"/>
      <c r="J33" s="992"/>
      <c r="K33" s="992"/>
      <c r="L33" s="1330" t="s">
        <v>870</v>
      </c>
      <c r="M33" s="1330"/>
      <c r="N33" s="1330"/>
      <c r="O33" s="1330"/>
      <c r="P33" s="1330"/>
      <c r="Q33" s="1330"/>
      <c r="R33" s="1330"/>
      <c r="S33" s="1330"/>
      <c r="T33" s="987"/>
      <c r="U33" s="987"/>
      <c r="V33" s="987"/>
    </row>
    <row r="34" spans="1:22">
      <c r="A34" s="987"/>
      <c r="B34" s="987"/>
      <c r="C34" s="987"/>
      <c r="D34" s="987"/>
      <c r="E34" s="987"/>
      <c r="F34" s="987"/>
      <c r="G34" s="987"/>
      <c r="H34" s="987"/>
      <c r="I34" s="987"/>
      <c r="J34" s="987"/>
      <c r="K34" s="987"/>
      <c r="L34" s="987"/>
      <c r="M34" s="987"/>
      <c r="N34" s="987"/>
      <c r="O34" s="987"/>
      <c r="P34" s="987"/>
      <c r="Q34" s="987"/>
      <c r="R34" s="987"/>
      <c r="S34" s="987"/>
      <c r="T34" s="987"/>
      <c r="U34" s="987"/>
      <c r="V34" s="987"/>
    </row>
    <row r="35" spans="1:22">
      <c r="A35" s="987"/>
      <c r="B35" s="987"/>
      <c r="C35" s="987"/>
      <c r="D35" s="987"/>
      <c r="E35" s="987"/>
      <c r="F35" s="987"/>
      <c r="G35" s="987"/>
      <c r="H35" s="987"/>
      <c r="I35" s="987"/>
      <c r="J35" s="987"/>
      <c r="K35" s="987"/>
      <c r="L35" s="987"/>
      <c r="M35" s="987"/>
      <c r="N35" s="987"/>
      <c r="O35" s="987"/>
      <c r="P35" s="987"/>
      <c r="Q35" s="987"/>
      <c r="R35" s="987"/>
      <c r="S35" s="987"/>
      <c r="T35" s="987"/>
      <c r="U35" s="987"/>
      <c r="V35" s="987"/>
    </row>
    <row r="36" spans="1:22">
      <c r="A36" s="987"/>
      <c r="B36" s="987"/>
      <c r="C36" s="987"/>
      <c r="D36" s="987"/>
      <c r="E36" s="987"/>
      <c r="F36" s="987"/>
      <c r="G36" s="987"/>
      <c r="H36" s="987"/>
      <c r="I36" s="987"/>
      <c r="J36" s="987"/>
      <c r="K36" s="987"/>
      <c r="L36" s="987"/>
      <c r="M36" s="987"/>
      <c r="N36" s="987"/>
      <c r="O36" s="987"/>
      <c r="P36" s="987"/>
      <c r="Q36" s="987"/>
      <c r="R36" s="987"/>
      <c r="S36" s="987"/>
      <c r="T36" s="987"/>
      <c r="U36" s="987"/>
      <c r="V36" s="987"/>
    </row>
    <row r="37" spans="1:22">
      <c r="A37" s="987"/>
      <c r="B37" s="987"/>
      <c r="C37" s="987"/>
      <c r="D37" s="987"/>
      <c r="E37" s="987"/>
      <c r="F37" s="987"/>
      <c r="G37" s="987"/>
      <c r="H37" s="987"/>
      <c r="I37" s="987"/>
      <c r="J37" s="987"/>
      <c r="K37" s="987"/>
      <c r="L37" s="987"/>
      <c r="M37" s="987"/>
      <c r="N37" s="987"/>
      <c r="O37" s="987"/>
      <c r="P37" s="987"/>
      <c r="Q37" s="987"/>
      <c r="R37" s="987"/>
      <c r="S37" s="987"/>
      <c r="T37" s="987"/>
      <c r="U37" s="987"/>
      <c r="V37" s="987"/>
    </row>
    <row r="38" spans="1:22">
      <c r="A38" s="987"/>
      <c r="B38" s="987"/>
      <c r="C38" s="987"/>
      <c r="D38" s="987"/>
      <c r="E38" s="987"/>
      <c r="F38" s="987"/>
      <c r="G38" s="987"/>
      <c r="H38" s="987"/>
      <c r="I38" s="987"/>
      <c r="J38" s="987"/>
      <c r="K38" s="987"/>
      <c r="L38" s="987"/>
      <c r="M38" s="987"/>
      <c r="N38" s="987"/>
      <c r="O38" s="987"/>
      <c r="P38" s="987"/>
      <c r="Q38" s="987"/>
      <c r="R38" s="987"/>
      <c r="S38" s="987"/>
      <c r="T38" s="987"/>
      <c r="U38" s="987"/>
      <c r="V38" s="987"/>
    </row>
    <row r="39" spans="1:22">
      <c r="A39" s="987"/>
      <c r="B39" s="987"/>
      <c r="C39" s="987"/>
      <c r="D39" s="987"/>
      <c r="E39" s="987"/>
      <c r="F39" s="987"/>
      <c r="G39" s="987"/>
      <c r="H39" s="987"/>
      <c r="I39" s="987"/>
      <c r="J39" s="987"/>
      <c r="K39" s="987"/>
      <c r="L39" s="987"/>
      <c r="M39" s="987"/>
      <c r="N39" s="987"/>
      <c r="O39" s="987"/>
      <c r="P39" s="987"/>
      <c r="Q39" s="987"/>
      <c r="R39" s="987"/>
      <c r="S39" s="987"/>
      <c r="T39" s="987"/>
      <c r="U39" s="987"/>
      <c r="V39" s="987"/>
    </row>
    <row r="40" spans="1:22">
      <c r="A40" s="987"/>
      <c r="B40" s="987"/>
      <c r="C40" s="987"/>
      <c r="D40" s="987"/>
      <c r="E40" s="987"/>
      <c r="F40" s="987"/>
      <c r="G40" s="987"/>
      <c r="H40" s="987"/>
      <c r="I40" s="987"/>
      <c r="J40" s="987"/>
      <c r="K40" s="987"/>
      <c r="L40" s="987"/>
      <c r="M40" s="987"/>
      <c r="N40" s="987"/>
      <c r="O40" s="987"/>
      <c r="P40" s="987"/>
      <c r="Q40" s="987"/>
      <c r="R40" s="987"/>
      <c r="S40" s="987"/>
      <c r="T40" s="987"/>
      <c r="U40" s="987"/>
      <c r="V40" s="987"/>
    </row>
    <row r="41" spans="1:22">
      <c r="A41" s="987"/>
      <c r="B41" s="987"/>
      <c r="C41" s="987"/>
      <c r="D41" s="987"/>
      <c r="E41" s="987"/>
      <c r="F41" s="987"/>
      <c r="G41" s="987"/>
      <c r="H41" s="987"/>
      <c r="I41" s="987"/>
      <c r="J41" s="987"/>
      <c r="K41" s="987"/>
      <c r="L41" s="987"/>
      <c r="M41" s="987"/>
      <c r="N41" s="987"/>
      <c r="O41" s="987"/>
      <c r="P41" s="987"/>
      <c r="Q41" s="987"/>
      <c r="R41" s="987"/>
      <c r="S41" s="987"/>
      <c r="T41" s="987"/>
      <c r="U41" s="987"/>
      <c r="V41" s="987"/>
    </row>
    <row r="42" spans="1:22">
      <c r="A42" s="987"/>
      <c r="B42" s="987"/>
      <c r="C42" s="987"/>
      <c r="D42" s="987"/>
      <c r="E42" s="987"/>
      <c r="F42" s="987"/>
      <c r="G42" s="987"/>
      <c r="H42" s="987"/>
      <c r="I42" s="987"/>
      <c r="J42" s="987"/>
      <c r="K42" s="987"/>
      <c r="L42" s="987"/>
      <c r="M42" s="987"/>
      <c r="N42" s="987"/>
      <c r="O42" s="987"/>
      <c r="P42" s="987"/>
      <c r="Q42" s="987"/>
      <c r="R42" s="987"/>
      <c r="S42" s="987"/>
      <c r="T42" s="987"/>
      <c r="U42" s="987"/>
      <c r="V42" s="987"/>
    </row>
    <row r="43" spans="1:22">
      <c r="A43" s="987"/>
      <c r="B43" s="987"/>
      <c r="C43" s="987"/>
      <c r="D43" s="987"/>
      <c r="E43" s="987"/>
      <c r="F43" s="987"/>
      <c r="G43" s="987"/>
      <c r="H43" s="987"/>
      <c r="I43" s="987"/>
      <c r="J43" s="987"/>
      <c r="K43" s="987"/>
      <c r="L43" s="987"/>
      <c r="M43" s="987"/>
      <c r="N43" s="987"/>
      <c r="O43" s="987"/>
      <c r="P43" s="987"/>
      <c r="Q43" s="987"/>
      <c r="R43" s="987"/>
      <c r="S43" s="987"/>
      <c r="T43" s="987"/>
      <c r="U43" s="987"/>
      <c r="V43" s="987"/>
    </row>
    <row r="44" spans="1:22">
      <c r="A44" s="987"/>
      <c r="B44" s="987"/>
      <c r="C44" s="987"/>
      <c r="D44" s="987"/>
      <c r="E44" s="987"/>
      <c r="F44" s="987"/>
      <c r="G44" s="987"/>
      <c r="H44" s="987"/>
      <c r="I44" s="987"/>
      <c r="J44" s="987"/>
      <c r="K44" s="987"/>
      <c r="L44" s="987"/>
      <c r="M44" s="987"/>
      <c r="N44" s="987"/>
      <c r="O44" s="987"/>
      <c r="P44" s="987"/>
      <c r="Q44" s="987"/>
      <c r="R44" s="987"/>
      <c r="S44" s="987"/>
      <c r="T44" s="987"/>
      <c r="U44" s="987"/>
      <c r="V44" s="987"/>
    </row>
    <row r="45" spans="1:22">
      <c r="A45" s="987"/>
      <c r="B45" s="987"/>
      <c r="C45" s="987"/>
      <c r="D45" s="987"/>
      <c r="E45" s="987"/>
      <c r="F45" s="987"/>
      <c r="G45" s="987"/>
      <c r="H45" s="987"/>
      <c r="I45" s="987"/>
      <c r="J45" s="987"/>
      <c r="K45" s="987"/>
      <c r="L45" s="987"/>
      <c r="M45" s="987"/>
      <c r="N45" s="987"/>
      <c r="O45" s="987"/>
      <c r="P45" s="987"/>
      <c r="Q45" s="987"/>
      <c r="R45" s="987"/>
      <c r="S45" s="987"/>
      <c r="T45" s="987"/>
      <c r="U45" s="987"/>
      <c r="V45" s="987"/>
    </row>
    <row r="46" spans="1:22">
      <c r="A46" s="987"/>
      <c r="B46" s="987"/>
      <c r="C46" s="987"/>
      <c r="D46" s="987"/>
      <c r="E46" s="987"/>
      <c r="F46" s="987"/>
      <c r="G46" s="987"/>
      <c r="H46" s="987"/>
      <c r="I46" s="987"/>
      <c r="J46" s="987"/>
      <c r="K46" s="987"/>
      <c r="L46" s="987"/>
      <c r="M46" s="987"/>
      <c r="N46" s="987"/>
      <c r="O46" s="987"/>
      <c r="P46" s="987"/>
      <c r="Q46" s="987"/>
      <c r="R46" s="987"/>
      <c r="S46" s="987"/>
      <c r="T46" s="987"/>
      <c r="U46" s="987"/>
      <c r="V46" s="987"/>
    </row>
    <row r="47" spans="1:22">
      <c r="A47" s="987"/>
      <c r="B47" s="987"/>
      <c r="C47" s="987"/>
      <c r="D47" s="987"/>
      <c r="E47" s="987"/>
      <c r="F47" s="987"/>
      <c r="G47" s="987"/>
      <c r="H47" s="987"/>
      <c r="I47" s="987"/>
      <c r="J47" s="987"/>
      <c r="K47" s="987"/>
      <c r="L47" s="987"/>
      <c r="M47" s="987"/>
      <c r="N47" s="987"/>
      <c r="O47" s="987"/>
      <c r="P47" s="987"/>
      <c r="Q47" s="987"/>
      <c r="R47" s="987"/>
      <c r="S47" s="987"/>
      <c r="T47" s="987"/>
      <c r="U47" s="987"/>
      <c r="V47" s="987"/>
    </row>
    <row r="48" spans="1:22">
      <c r="A48" s="987"/>
      <c r="B48" s="987"/>
      <c r="C48" s="987"/>
      <c r="D48" s="987"/>
      <c r="E48" s="987"/>
      <c r="F48" s="987"/>
      <c r="G48" s="987"/>
      <c r="H48" s="987"/>
      <c r="I48" s="987"/>
      <c r="J48" s="987"/>
      <c r="K48" s="987"/>
      <c r="L48" s="987"/>
      <c r="M48" s="987"/>
      <c r="N48" s="987"/>
      <c r="O48" s="987"/>
      <c r="P48" s="987"/>
      <c r="Q48" s="987"/>
      <c r="R48" s="987"/>
      <c r="S48" s="987"/>
      <c r="T48" s="987"/>
      <c r="U48" s="987"/>
      <c r="V48" s="987"/>
    </row>
    <row r="49" spans="1:22">
      <c r="A49" s="987"/>
      <c r="B49" s="987"/>
      <c r="C49" s="987"/>
      <c r="D49" s="987"/>
      <c r="E49" s="987"/>
      <c r="F49" s="987"/>
      <c r="G49" s="987"/>
      <c r="H49" s="987"/>
      <c r="I49" s="987"/>
      <c r="J49" s="987"/>
      <c r="K49" s="987"/>
      <c r="L49" s="987"/>
      <c r="M49" s="987"/>
      <c r="N49" s="987"/>
      <c r="O49" s="987"/>
      <c r="P49" s="987"/>
      <c r="Q49" s="987"/>
      <c r="R49" s="987"/>
      <c r="S49" s="987"/>
      <c r="T49" s="987"/>
      <c r="U49" s="987"/>
      <c r="V49" s="987"/>
    </row>
    <row r="50" spans="1:22">
      <c r="A50" s="987"/>
      <c r="B50" s="987"/>
      <c r="C50" s="987"/>
      <c r="D50" s="987"/>
      <c r="E50" s="987"/>
      <c r="F50" s="987"/>
      <c r="G50" s="987"/>
      <c r="H50" s="987"/>
      <c r="I50" s="987"/>
      <c r="J50" s="987"/>
      <c r="K50" s="987"/>
      <c r="L50" s="987"/>
      <c r="M50" s="987"/>
      <c r="N50" s="987"/>
      <c r="O50" s="987"/>
      <c r="P50" s="987"/>
      <c r="Q50" s="987"/>
      <c r="R50" s="987"/>
      <c r="S50" s="987"/>
      <c r="T50" s="987"/>
      <c r="U50" s="987"/>
      <c r="V50" s="987"/>
    </row>
    <row r="51" spans="1:22">
      <c r="A51" s="987"/>
      <c r="B51" s="987"/>
      <c r="C51" s="987"/>
      <c r="D51" s="987"/>
      <c r="E51" s="987"/>
      <c r="F51" s="987"/>
      <c r="G51" s="987"/>
      <c r="H51" s="987"/>
      <c r="I51" s="987"/>
      <c r="J51" s="987"/>
      <c r="K51" s="987"/>
      <c r="L51" s="987"/>
      <c r="M51" s="987"/>
      <c r="N51" s="987"/>
      <c r="O51" s="987"/>
      <c r="P51" s="987"/>
      <c r="Q51" s="987"/>
      <c r="R51" s="987"/>
      <c r="S51" s="987"/>
      <c r="T51" s="987"/>
      <c r="U51" s="987"/>
      <c r="V51" s="987"/>
    </row>
    <row r="52" spans="1:22">
      <c r="A52" s="987"/>
      <c r="B52" s="987"/>
      <c r="C52" s="987"/>
      <c r="D52" s="987"/>
      <c r="E52" s="987"/>
      <c r="F52" s="987"/>
      <c r="G52" s="987"/>
      <c r="H52" s="987"/>
      <c r="I52" s="987"/>
      <c r="J52" s="987"/>
      <c r="K52" s="987"/>
      <c r="L52" s="987"/>
      <c r="M52" s="987"/>
      <c r="N52" s="987"/>
      <c r="O52" s="987"/>
      <c r="P52" s="987"/>
      <c r="Q52" s="987"/>
      <c r="R52" s="987"/>
      <c r="S52" s="987"/>
      <c r="T52" s="987"/>
      <c r="U52" s="987"/>
      <c r="V52" s="987"/>
    </row>
    <row r="53" spans="1:22">
      <c r="A53" s="987"/>
      <c r="B53" s="987"/>
      <c r="C53" s="987"/>
      <c r="D53" s="987"/>
      <c r="E53" s="987"/>
      <c r="F53" s="987"/>
      <c r="G53" s="987"/>
      <c r="H53" s="987"/>
      <c r="I53" s="987"/>
      <c r="J53" s="987"/>
      <c r="K53" s="987"/>
      <c r="L53" s="987"/>
      <c r="M53" s="987"/>
      <c r="N53" s="987"/>
      <c r="O53" s="987"/>
      <c r="P53" s="987"/>
      <c r="Q53" s="987"/>
      <c r="R53" s="987"/>
      <c r="S53" s="987"/>
      <c r="T53" s="987"/>
      <c r="U53" s="987"/>
      <c r="V53" s="987"/>
    </row>
    <row r="54" spans="1:22">
      <c r="A54" s="987"/>
      <c r="B54" s="987"/>
      <c r="C54" s="987"/>
      <c r="D54" s="987"/>
      <c r="E54" s="987"/>
      <c r="F54" s="987"/>
      <c r="G54" s="987"/>
      <c r="H54" s="987"/>
      <c r="I54" s="987"/>
      <c r="J54" s="987"/>
      <c r="K54" s="987"/>
      <c r="L54" s="987"/>
      <c r="M54" s="987"/>
      <c r="N54" s="987"/>
      <c r="O54" s="987"/>
      <c r="P54" s="987"/>
      <c r="Q54" s="987"/>
      <c r="R54" s="987"/>
      <c r="S54" s="987"/>
      <c r="T54" s="987"/>
      <c r="U54" s="987"/>
      <c r="V54" s="987"/>
    </row>
    <row r="55" spans="1:22">
      <c r="A55" s="987"/>
      <c r="B55" s="987"/>
      <c r="C55" s="987"/>
      <c r="D55" s="987"/>
      <c r="E55" s="987"/>
      <c r="F55" s="987"/>
      <c r="G55" s="987"/>
      <c r="H55" s="987"/>
      <c r="I55" s="987"/>
      <c r="J55" s="987"/>
      <c r="K55" s="987"/>
      <c r="L55" s="987"/>
      <c r="M55" s="987"/>
      <c r="N55" s="987"/>
      <c r="O55" s="987"/>
      <c r="P55" s="987"/>
      <c r="Q55" s="987"/>
      <c r="R55" s="987"/>
      <c r="S55" s="987"/>
      <c r="T55" s="987"/>
      <c r="U55" s="987"/>
      <c r="V55" s="987"/>
    </row>
    <row r="56" spans="1:22">
      <c r="A56" s="987"/>
      <c r="B56" s="987"/>
      <c r="C56" s="987"/>
      <c r="D56" s="987"/>
      <c r="E56" s="987"/>
      <c r="F56" s="987"/>
      <c r="G56" s="987"/>
      <c r="H56" s="987"/>
      <c r="I56" s="987"/>
      <c r="J56" s="987"/>
      <c r="K56" s="987"/>
      <c r="L56" s="987"/>
      <c r="M56" s="987"/>
      <c r="N56" s="987"/>
      <c r="O56" s="987"/>
      <c r="P56" s="987"/>
      <c r="Q56" s="987"/>
      <c r="R56" s="987"/>
      <c r="S56" s="987"/>
      <c r="T56" s="987"/>
      <c r="U56" s="987"/>
      <c r="V56" s="987"/>
    </row>
    <row r="57" spans="1:22">
      <c r="A57" s="987"/>
      <c r="B57" s="987"/>
      <c r="C57" s="987"/>
      <c r="D57" s="987"/>
      <c r="E57" s="987"/>
      <c r="F57" s="987"/>
      <c r="G57" s="987"/>
      <c r="H57" s="987"/>
      <c r="I57" s="987"/>
      <c r="J57" s="987"/>
      <c r="K57" s="987"/>
      <c r="L57" s="987"/>
      <c r="M57" s="987"/>
      <c r="N57" s="987"/>
      <c r="O57" s="987"/>
      <c r="P57" s="987"/>
      <c r="Q57" s="987"/>
      <c r="R57" s="987"/>
      <c r="S57" s="987"/>
      <c r="T57" s="987"/>
      <c r="U57" s="987"/>
      <c r="V57" s="987"/>
    </row>
    <row r="58" spans="1:22">
      <c r="A58" s="987"/>
      <c r="B58" s="987"/>
      <c r="C58" s="987"/>
      <c r="D58" s="987"/>
      <c r="E58" s="987"/>
      <c r="F58" s="987"/>
      <c r="G58" s="987"/>
      <c r="H58" s="987"/>
      <c r="I58" s="987"/>
      <c r="J58" s="987"/>
      <c r="K58" s="987"/>
      <c r="L58" s="987"/>
      <c r="M58" s="987"/>
      <c r="N58" s="987"/>
      <c r="O58" s="987"/>
      <c r="P58" s="987"/>
      <c r="Q58" s="987"/>
      <c r="R58" s="987"/>
      <c r="S58" s="987"/>
      <c r="T58" s="987"/>
      <c r="U58" s="987"/>
      <c r="V58" s="987"/>
    </row>
    <row r="59" spans="1:22" ht="15.6">
      <c r="A59" s="1332" t="s">
        <v>871</v>
      </c>
      <c r="B59" s="1332"/>
      <c r="C59" s="1332"/>
      <c r="D59" s="1332"/>
      <c r="E59" s="1332"/>
      <c r="F59" s="1332"/>
      <c r="G59" s="1332"/>
      <c r="H59" s="1332"/>
      <c r="I59" s="987"/>
      <c r="J59" s="992"/>
      <c r="K59" s="992"/>
      <c r="L59" s="1330" t="s">
        <v>872</v>
      </c>
      <c r="M59" s="1330"/>
      <c r="N59" s="1330"/>
      <c r="O59" s="1330"/>
      <c r="P59" s="1330"/>
      <c r="Q59" s="1330"/>
      <c r="R59" s="1330"/>
      <c r="S59" s="1330"/>
      <c r="T59" s="1330"/>
      <c r="U59" s="1330"/>
      <c r="V59" s="987"/>
    </row>
    <row r="60" spans="1:22">
      <c r="A60" s="987"/>
      <c r="B60" s="987"/>
      <c r="C60" s="987"/>
      <c r="D60" s="987"/>
      <c r="E60" s="987"/>
      <c r="F60" s="987"/>
      <c r="G60" s="987"/>
      <c r="H60" s="987"/>
      <c r="I60" s="993"/>
      <c r="J60" s="993"/>
      <c r="K60" s="993"/>
      <c r="L60" s="993"/>
      <c r="M60" s="993"/>
      <c r="N60" s="993"/>
      <c r="O60" s="993"/>
      <c r="P60" s="993"/>
      <c r="Q60" s="993"/>
      <c r="R60" s="987"/>
      <c r="S60" s="987"/>
      <c r="T60" s="987"/>
      <c r="U60" s="987"/>
      <c r="V60" s="987"/>
    </row>
    <row r="61" spans="1:22">
      <c r="A61" s="987"/>
      <c r="B61" s="987"/>
      <c r="C61" s="987"/>
      <c r="D61" s="987"/>
      <c r="E61" s="987"/>
      <c r="F61" s="987"/>
      <c r="G61" s="987"/>
      <c r="H61" s="987"/>
      <c r="I61" s="987"/>
      <c r="J61" s="987"/>
      <c r="K61" s="987"/>
      <c r="L61" s="987"/>
      <c r="M61" s="987"/>
      <c r="N61" s="987"/>
      <c r="O61" s="987"/>
      <c r="P61" s="987"/>
      <c r="Q61" s="987"/>
      <c r="R61" s="987"/>
      <c r="S61" s="987"/>
      <c r="T61" s="987"/>
      <c r="U61" s="987"/>
      <c r="V61" s="987"/>
    </row>
    <row r="62" spans="1:22">
      <c r="A62" s="987"/>
      <c r="B62" s="987"/>
      <c r="C62" s="987"/>
      <c r="D62" s="987"/>
      <c r="E62" s="987"/>
      <c r="F62" s="987"/>
      <c r="G62" s="987"/>
      <c r="H62" s="987"/>
      <c r="I62" s="987"/>
      <c r="J62" s="987"/>
      <c r="K62" s="987"/>
      <c r="L62" s="987"/>
      <c r="M62" s="987"/>
      <c r="N62" s="987"/>
      <c r="O62" s="987"/>
      <c r="P62" s="987"/>
      <c r="Q62" s="987"/>
      <c r="R62" s="987"/>
      <c r="S62" s="987"/>
      <c r="T62" s="987"/>
      <c r="U62" s="987"/>
      <c r="V62" s="987"/>
    </row>
    <row r="63" spans="1:22">
      <c r="A63" s="987"/>
      <c r="B63" s="987"/>
      <c r="C63" s="987"/>
      <c r="D63" s="987"/>
      <c r="E63" s="987"/>
      <c r="F63" s="987"/>
      <c r="G63" s="987"/>
      <c r="H63" s="987"/>
      <c r="I63" s="987"/>
      <c r="J63" s="987"/>
      <c r="K63" s="987"/>
      <c r="L63" s="987"/>
      <c r="M63" s="987"/>
      <c r="N63" s="987"/>
      <c r="O63" s="987"/>
      <c r="P63" s="987"/>
      <c r="Q63" s="987"/>
      <c r="R63" s="987"/>
      <c r="S63" s="987"/>
      <c r="T63" s="987"/>
      <c r="U63" s="987"/>
      <c r="V63" s="987"/>
    </row>
    <row r="64" spans="1:22">
      <c r="A64" s="987"/>
      <c r="B64" s="987"/>
      <c r="C64" s="987"/>
      <c r="D64" s="987"/>
      <c r="E64" s="987"/>
      <c r="F64" s="987"/>
      <c r="G64" s="987"/>
      <c r="H64" s="987"/>
      <c r="I64" s="987"/>
      <c r="J64" s="987"/>
      <c r="K64" s="987"/>
      <c r="L64" s="987"/>
      <c r="M64" s="987"/>
      <c r="N64" s="987"/>
      <c r="O64" s="987"/>
      <c r="P64" s="987"/>
      <c r="Q64" s="987"/>
      <c r="R64" s="987"/>
      <c r="S64" s="987"/>
      <c r="T64" s="987"/>
      <c r="U64" s="987"/>
      <c r="V64" s="987"/>
    </row>
    <row r="65" spans="1:22">
      <c r="A65" s="987"/>
      <c r="B65" s="987"/>
      <c r="C65" s="987"/>
      <c r="D65" s="987"/>
      <c r="E65" s="987"/>
      <c r="F65" s="987"/>
      <c r="G65" s="987"/>
      <c r="H65" s="987"/>
      <c r="I65" s="987"/>
      <c r="J65" s="987"/>
      <c r="K65" s="987"/>
      <c r="L65" s="987"/>
      <c r="M65" s="987"/>
      <c r="N65" s="987"/>
      <c r="O65" s="987"/>
      <c r="P65" s="987"/>
      <c r="Q65" s="987"/>
      <c r="R65" s="987"/>
      <c r="S65" s="987"/>
      <c r="T65" s="987"/>
      <c r="U65" s="987"/>
      <c r="V65" s="987"/>
    </row>
    <row r="66" spans="1:22">
      <c r="A66" s="987"/>
      <c r="B66" s="987"/>
      <c r="C66" s="987"/>
      <c r="D66" s="987"/>
      <c r="E66" s="987"/>
      <c r="F66" s="987"/>
      <c r="G66" s="987"/>
      <c r="H66" s="987"/>
      <c r="I66" s="987"/>
      <c r="J66" s="987"/>
      <c r="K66" s="987"/>
      <c r="L66" s="987"/>
      <c r="M66" s="987"/>
      <c r="N66" s="987"/>
      <c r="O66" s="987"/>
      <c r="P66" s="987"/>
      <c r="Q66" s="987"/>
      <c r="R66" s="987"/>
      <c r="S66" s="987"/>
      <c r="T66" s="987"/>
      <c r="U66" s="987"/>
      <c r="V66" s="987"/>
    </row>
    <row r="67" spans="1:22">
      <c r="A67" s="987"/>
      <c r="B67" s="987"/>
      <c r="C67" s="987"/>
      <c r="D67" s="987"/>
      <c r="E67" s="987"/>
      <c r="F67" s="987"/>
      <c r="G67" s="987"/>
      <c r="H67" s="987"/>
      <c r="I67" s="987"/>
      <c r="J67" s="987"/>
      <c r="K67" s="987"/>
      <c r="L67" s="987"/>
      <c r="M67" s="987"/>
      <c r="N67" s="987"/>
      <c r="O67" s="987"/>
      <c r="P67" s="987"/>
      <c r="Q67" s="987"/>
      <c r="R67" s="987"/>
      <c r="S67" s="987"/>
      <c r="T67" s="987"/>
      <c r="U67" s="987"/>
      <c r="V67" s="987"/>
    </row>
    <row r="68" spans="1:22">
      <c r="A68" s="987"/>
      <c r="B68" s="987"/>
      <c r="C68" s="987"/>
      <c r="D68" s="987"/>
      <c r="E68" s="987"/>
      <c r="F68" s="987"/>
      <c r="G68" s="987"/>
      <c r="H68" s="987"/>
      <c r="I68" s="987"/>
      <c r="J68" s="987"/>
      <c r="K68" s="987"/>
      <c r="L68" s="987"/>
      <c r="M68" s="987"/>
      <c r="N68" s="987"/>
      <c r="O68" s="987"/>
      <c r="P68" s="987"/>
      <c r="Q68" s="987"/>
      <c r="R68" s="987"/>
      <c r="S68" s="987"/>
      <c r="T68" s="987"/>
      <c r="U68" s="987"/>
      <c r="V68" s="987"/>
    </row>
    <row r="69" spans="1:22">
      <c r="A69" s="987"/>
      <c r="B69" s="987"/>
      <c r="C69" s="987"/>
      <c r="D69" s="987"/>
      <c r="E69" s="987"/>
      <c r="F69" s="987"/>
      <c r="G69" s="987"/>
      <c r="H69" s="987"/>
      <c r="I69" s="987"/>
      <c r="J69" s="987"/>
      <c r="K69" s="987"/>
      <c r="L69" s="987"/>
      <c r="M69" s="987"/>
      <c r="N69" s="987"/>
      <c r="O69" s="987"/>
      <c r="P69" s="987"/>
      <c r="Q69" s="987"/>
      <c r="R69" s="987"/>
      <c r="S69" s="987"/>
      <c r="T69" s="987"/>
      <c r="U69" s="987"/>
      <c r="V69" s="987"/>
    </row>
    <row r="70" spans="1:22">
      <c r="A70" s="987"/>
      <c r="B70" s="987"/>
      <c r="C70" s="987"/>
      <c r="D70" s="987"/>
      <c r="E70" s="987"/>
      <c r="F70" s="987"/>
      <c r="G70" s="987"/>
      <c r="H70" s="987"/>
      <c r="I70" s="987"/>
      <c r="J70" s="987"/>
      <c r="K70" s="987"/>
      <c r="L70" s="987"/>
      <c r="M70" s="987"/>
      <c r="N70" s="987"/>
      <c r="O70" s="987"/>
      <c r="P70" s="987"/>
      <c r="Q70" s="987"/>
      <c r="R70" s="987"/>
      <c r="S70" s="987"/>
      <c r="T70" s="987"/>
      <c r="U70" s="987"/>
      <c r="V70" s="987"/>
    </row>
    <row r="71" spans="1:22">
      <c r="A71" s="987"/>
      <c r="B71" s="987"/>
      <c r="C71" s="987"/>
      <c r="D71" s="987"/>
      <c r="E71" s="987"/>
      <c r="F71" s="987"/>
      <c r="G71" s="987"/>
      <c r="H71" s="987"/>
      <c r="I71" s="987"/>
      <c r="J71" s="987"/>
      <c r="K71" s="987"/>
      <c r="L71" s="987"/>
      <c r="M71" s="987"/>
      <c r="N71" s="987"/>
      <c r="O71" s="987"/>
      <c r="P71" s="987"/>
      <c r="Q71" s="987"/>
      <c r="R71" s="987"/>
      <c r="S71" s="987"/>
      <c r="T71" s="987"/>
      <c r="U71" s="987"/>
      <c r="V71" s="987"/>
    </row>
    <row r="72" spans="1:22">
      <c r="A72" s="987"/>
      <c r="B72" s="987"/>
      <c r="C72" s="987"/>
      <c r="D72" s="987"/>
      <c r="E72" s="987"/>
      <c r="F72" s="987"/>
      <c r="G72" s="987"/>
      <c r="H72" s="987"/>
      <c r="I72" s="987"/>
      <c r="J72" s="987"/>
      <c r="K72" s="987"/>
      <c r="L72" s="987"/>
      <c r="M72" s="987"/>
      <c r="N72" s="987"/>
      <c r="O72" s="987"/>
      <c r="P72" s="987"/>
      <c r="Q72" s="987"/>
      <c r="R72" s="987"/>
      <c r="S72" s="987"/>
      <c r="T72" s="987"/>
      <c r="U72" s="987"/>
      <c r="V72" s="987"/>
    </row>
    <row r="73" spans="1:22">
      <c r="A73" s="987"/>
      <c r="B73" s="987"/>
      <c r="C73" s="987"/>
      <c r="D73" s="987"/>
      <c r="E73" s="987"/>
      <c r="F73" s="987"/>
      <c r="G73" s="987"/>
      <c r="H73" s="987"/>
      <c r="I73" s="987"/>
      <c r="J73" s="987"/>
      <c r="K73" s="987"/>
      <c r="L73" s="987"/>
      <c r="M73" s="987"/>
      <c r="N73" s="987"/>
      <c r="O73" s="987"/>
      <c r="P73" s="987"/>
      <c r="Q73" s="987"/>
      <c r="R73" s="987"/>
      <c r="S73" s="987"/>
      <c r="T73" s="987"/>
      <c r="U73" s="987"/>
      <c r="V73" s="987"/>
    </row>
    <row r="74" spans="1:22">
      <c r="A74" s="987"/>
      <c r="B74" s="987"/>
      <c r="C74" s="987"/>
      <c r="D74" s="987"/>
      <c r="E74" s="987"/>
      <c r="F74" s="987"/>
      <c r="G74" s="987"/>
      <c r="H74" s="987"/>
      <c r="I74" s="987"/>
      <c r="J74" s="987"/>
      <c r="K74" s="987"/>
      <c r="L74" s="987"/>
      <c r="M74" s="987"/>
      <c r="N74" s="987"/>
      <c r="O74" s="987"/>
      <c r="P74" s="987"/>
      <c r="Q74" s="987"/>
      <c r="R74" s="987"/>
      <c r="S74" s="987"/>
      <c r="T74" s="987"/>
      <c r="U74" s="987"/>
      <c r="V74" s="987"/>
    </row>
    <row r="75" spans="1:22">
      <c r="A75" s="987"/>
      <c r="B75" s="987"/>
      <c r="C75" s="987"/>
      <c r="D75" s="987"/>
      <c r="E75" s="987"/>
      <c r="F75" s="987"/>
      <c r="G75" s="987"/>
      <c r="H75" s="987"/>
      <c r="I75" s="987"/>
      <c r="J75" s="987"/>
      <c r="K75" s="987"/>
      <c r="L75" s="987"/>
      <c r="M75" s="987"/>
      <c r="N75" s="987"/>
      <c r="O75" s="987"/>
      <c r="P75" s="987"/>
      <c r="Q75" s="987"/>
      <c r="R75" s="987"/>
      <c r="S75" s="987"/>
      <c r="T75" s="987"/>
      <c r="U75" s="987"/>
      <c r="V75" s="987"/>
    </row>
    <row r="76" spans="1:22">
      <c r="A76" s="987"/>
      <c r="B76" s="987"/>
      <c r="C76" s="987"/>
      <c r="D76" s="987"/>
      <c r="E76" s="987"/>
      <c r="F76" s="987"/>
      <c r="G76" s="987"/>
      <c r="H76" s="987"/>
      <c r="I76" s="987"/>
      <c r="J76" s="987"/>
      <c r="K76" s="987"/>
      <c r="L76" s="987"/>
      <c r="M76" s="987"/>
      <c r="N76" s="987"/>
      <c r="O76" s="987"/>
      <c r="P76" s="987"/>
      <c r="Q76" s="987"/>
      <c r="R76" s="987"/>
      <c r="S76" s="987"/>
      <c r="T76" s="987"/>
      <c r="U76" s="987"/>
      <c r="V76" s="987"/>
    </row>
    <row r="77" spans="1:22">
      <c r="A77" s="987"/>
      <c r="B77" s="987"/>
      <c r="C77" s="987"/>
      <c r="D77" s="987"/>
      <c r="E77" s="987"/>
      <c r="F77" s="987"/>
      <c r="G77" s="987"/>
      <c r="H77" s="987"/>
      <c r="I77" s="987"/>
      <c r="J77" s="987"/>
      <c r="K77" s="987"/>
      <c r="L77" s="987"/>
      <c r="M77" s="987"/>
      <c r="N77" s="987"/>
      <c r="O77" s="987"/>
      <c r="P77" s="987"/>
      <c r="Q77" s="987"/>
      <c r="R77" s="987"/>
      <c r="S77" s="987"/>
      <c r="T77" s="987"/>
      <c r="U77" s="987"/>
      <c r="V77" s="987"/>
    </row>
    <row r="78" spans="1:22">
      <c r="A78" s="987"/>
      <c r="B78" s="987"/>
      <c r="C78" s="987"/>
      <c r="D78" s="987"/>
      <c r="E78" s="987"/>
      <c r="F78" s="987"/>
      <c r="G78" s="987"/>
      <c r="H78" s="987"/>
      <c r="I78" s="987"/>
      <c r="J78" s="987"/>
      <c r="K78" s="987"/>
      <c r="L78" s="987"/>
      <c r="M78" s="987"/>
      <c r="N78" s="987"/>
      <c r="O78" s="987"/>
      <c r="P78" s="987"/>
      <c r="Q78" s="987"/>
      <c r="R78" s="987"/>
      <c r="S78" s="987"/>
      <c r="T78" s="987"/>
      <c r="U78" s="987"/>
      <c r="V78" s="987"/>
    </row>
    <row r="79" spans="1:22">
      <c r="A79" s="987"/>
      <c r="B79" s="987"/>
      <c r="C79" s="987"/>
      <c r="D79" s="987"/>
      <c r="E79" s="987"/>
      <c r="F79" s="987"/>
      <c r="G79" s="987"/>
      <c r="H79" s="987"/>
      <c r="I79" s="987"/>
      <c r="J79" s="987"/>
      <c r="K79" s="987"/>
      <c r="L79" s="987"/>
      <c r="M79" s="987"/>
      <c r="N79" s="987"/>
      <c r="O79" s="987"/>
      <c r="P79" s="987"/>
      <c r="Q79" s="987"/>
      <c r="R79" s="987"/>
      <c r="S79" s="987"/>
      <c r="T79" s="987"/>
      <c r="U79" s="987"/>
      <c r="V79" s="987"/>
    </row>
    <row r="80" spans="1:22">
      <c r="A80" s="987"/>
      <c r="B80" s="987"/>
      <c r="C80" s="987"/>
      <c r="D80" s="987"/>
      <c r="E80" s="987"/>
      <c r="F80" s="987"/>
      <c r="G80" s="987"/>
      <c r="H80" s="987"/>
      <c r="I80" s="987"/>
      <c r="J80" s="987"/>
      <c r="K80" s="987"/>
      <c r="L80" s="987"/>
      <c r="M80" s="987"/>
      <c r="N80" s="987"/>
      <c r="O80" s="987"/>
      <c r="P80" s="987"/>
      <c r="Q80" s="987"/>
      <c r="R80" s="987"/>
      <c r="S80" s="987"/>
      <c r="T80" s="987"/>
      <c r="U80" s="987"/>
      <c r="V80" s="987"/>
    </row>
    <row r="81" spans="1:22">
      <c r="A81" s="987"/>
      <c r="B81" s="987"/>
      <c r="C81" s="987"/>
      <c r="D81" s="987"/>
      <c r="E81" s="987"/>
      <c r="F81" s="987"/>
      <c r="G81" s="987"/>
      <c r="H81" s="987"/>
      <c r="I81" s="987"/>
      <c r="J81" s="987"/>
      <c r="K81" s="987"/>
      <c r="L81" s="987"/>
      <c r="M81" s="987"/>
      <c r="N81" s="987"/>
      <c r="O81" s="987"/>
      <c r="P81" s="987"/>
      <c r="Q81" s="987"/>
      <c r="R81" s="987"/>
      <c r="S81" s="987"/>
      <c r="T81" s="987"/>
      <c r="U81" s="987"/>
      <c r="V81" s="987"/>
    </row>
    <row r="82" spans="1:22">
      <c r="A82" s="987"/>
      <c r="B82" s="987"/>
      <c r="C82" s="987"/>
      <c r="D82" s="987"/>
      <c r="E82" s="987"/>
      <c r="F82" s="987"/>
      <c r="G82" s="987"/>
      <c r="H82" s="987"/>
      <c r="I82" s="987"/>
      <c r="J82" s="987"/>
      <c r="K82" s="987"/>
      <c r="L82" s="987"/>
      <c r="M82" s="987"/>
      <c r="N82" s="987"/>
      <c r="O82" s="987"/>
      <c r="P82" s="987"/>
      <c r="Q82" s="987"/>
      <c r="R82" s="987"/>
      <c r="S82" s="987"/>
      <c r="T82" s="987"/>
      <c r="U82" s="987"/>
      <c r="V82" s="987"/>
    </row>
    <row r="83" spans="1:22" ht="15.6">
      <c r="A83" s="1329" t="s">
        <v>873</v>
      </c>
      <c r="B83" s="1329"/>
      <c r="C83" s="1329"/>
      <c r="D83" s="1329"/>
      <c r="E83" s="1329"/>
      <c r="F83" s="1329"/>
      <c r="G83" s="1329"/>
      <c r="H83" s="1329"/>
      <c r="I83" s="1329"/>
      <c r="J83" s="1329"/>
      <c r="K83" s="987"/>
      <c r="L83" s="1330" t="s">
        <v>874</v>
      </c>
      <c r="M83" s="1330"/>
      <c r="N83" s="1330"/>
      <c r="O83" s="1330"/>
      <c r="P83" s="1330"/>
      <c r="Q83" s="1330"/>
      <c r="R83" s="1330"/>
      <c r="S83" s="1330"/>
      <c r="T83" s="1330"/>
      <c r="U83" s="1330"/>
      <c r="V83" s="994"/>
    </row>
    <row r="84" spans="1:22">
      <c r="A84" s="987"/>
      <c r="B84" s="987"/>
      <c r="C84" s="987"/>
      <c r="D84" s="987"/>
      <c r="E84" s="987"/>
      <c r="F84" s="987"/>
      <c r="G84" s="987"/>
      <c r="H84" s="987"/>
      <c r="I84" s="987"/>
      <c r="J84" s="987"/>
      <c r="K84" s="987"/>
      <c r="L84" s="987"/>
      <c r="M84" s="987"/>
      <c r="N84" s="987"/>
      <c r="O84" s="987"/>
      <c r="P84" s="987"/>
      <c r="Q84" s="987"/>
      <c r="R84" s="987"/>
      <c r="S84" s="987"/>
      <c r="T84" s="987"/>
      <c r="U84" s="987"/>
      <c r="V84" s="987"/>
    </row>
    <row r="85" spans="1:22">
      <c r="A85" s="987"/>
      <c r="B85" s="987"/>
      <c r="C85" s="987"/>
      <c r="D85" s="987"/>
      <c r="E85" s="987"/>
      <c r="F85" s="987"/>
      <c r="G85" s="987"/>
      <c r="H85" s="987"/>
      <c r="I85" s="987"/>
      <c r="J85" s="987"/>
      <c r="K85" s="987"/>
      <c r="L85" s="987"/>
      <c r="M85" s="987"/>
      <c r="N85" s="987"/>
      <c r="O85" s="987"/>
      <c r="P85" s="987"/>
      <c r="Q85" s="987"/>
      <c r="R85" s="987"/>
      <c r="S85" s="987"/>
      <c r="T85" s="987"/>
      <c r="U85" s="987"/>
      <c r="V85" s="987"/>
    </row>
    <row r="86" spans="1:22">
      <c r="A86" s="987"/>
      <c r="B86" s="987"/>
      <c r="C86" s="987"/>
      <c r="D86" s="987"/>
      <c r="E86" s="987"/>
      <c r="F86" s="987"/>
      <c r="G86" s="987"/>
      <c r="H86" s="987"/>
      <c r="I86" s="987"/>
      <c r="J86" s="987"/>
      <c r="K86" s="987"/>
      <c r="L86" s="987"/>
      <c r="M86" s="987"/>
      <c r="N86" s="987"/>
      <c r="O86" s="987"/>
      <c r="P86" s="987"/>
      <c r="Q86" s="987"/>
      <c r="R86" s="987"/>
      <c r="S86" s="987"/>
      <c r="T86" s="987"/>
      <c r="U86" s="987"/>
      <c r="V86" s="987"/>
    </row>
    <row r="87" spans="1:22">
      <c r="A87" s="987"/>
      <c r="B87" s="987"/>
      <c r="C87" s="987"/>
      <c r="D87" s="987"/>
      <c r="E87" s="987"/>
      <c r="F87" s="987"/>
      <c r="G87" s="987"/>
      <c r="H87" s="987"/>
      <c r="I87" s="987"/>
      <c r="J87" s="987"/>
      <c r="K87" s="987"/>
      <c r="L87" s="987"/>
      <c r="M87" s="987"/>
      <c r="N87" s="987"/>
      <c r="O87" s="987"/>
      <c r="P87" s="987"/>
      <c r="Q87" s="987"/>
      <c r="R87" s="987"/>
      <c r="S87" s="987"/>
      <c r="T87" s="987"/>
      <c r="U87" s="987"/>
      <c r="V87" s="987"/>
    </row>
    <row r="88" spans="1:22">
      <c r="A88" s="987"/>
      <c r="B88" s="987"/>
      <c r="C88" s="987"/>
      <c r="D88" s="987"/>
      <c r="E88" s="987"/>
      <c r="F88" s="987"/>
      <c r="G88" s="987"/>
      <c r="H88" s="987"/>
      <c r="I88" s="987"/>
      <c r="J88" s="987"/>
      <c r="K88" s="987"/>
      <c r="L88" s="987"/>
      <c r="M88" s="987"/>
      <c r="N88" s="987"/>
      <c r="O88" s="987"/>
      <c r="P88" s="987"/>
      <c r="Q88" s="987"/>
      <c r="R88" s="987"/>
      <c r="S88" s="987"/>
      <c r="T88" s="987"/>
      <c r="U88" s="987"/>
      <c r="V88" s="987"/>
    </row>
    <row r="89" spans="1:22">
      <c r="A89" s="987"/>
      <c r="B89" s="987"/>
      <c r="C89" s="987"/>
      <c r="D89" s="987"/>
      <c r="E89" s="987"/>
      <c r="F89" s="987"/>
      <c r="G89" s="987"/>
      <c r="H89" s="987"/>
      <c r="I89" s="987"/>
      <c r="J89" s="987"/>
      <c r="K89" s="987"/>
      <c r="L89" s="987"/>
      <c r="M89" s="987"/>
      <c r="N89" s="987"/>
      <c r="O89" s="987"/>
      <c r="P89" s="987"/>
      <c r="Q89" s="987"/>
      <c r="R89" s="987"/>
      <c r="S89" s="987"/>
      <c r="T89" s="987"/>
      <c r="U89" s="987"/>
      <c r="V89" s="987"/>
    </row>
    <row r="90" spans="1:22">
      <c r="A90" s="987"/>
      <c r="B90" s="987"/>
      <c r="C90" s="987"/>
      <c r="D90" s="987"/>
      <c r="E90" s="987"/>
      <c r="F90" s="987"/>
      <c r="G90" s="987"/>
      <c r="H90" s="987"/>
      <c r="I90" s="987"/>
      <c r="J90" s="987"/>
      <c r="K90" s="987"/>
      <c r="L90" s="987"/>
      <c r="M90" s="987"/>
      <c r="N90" s="987"/>
      <c r="O90" s="987"/>
      <c r="P90" s="987"/>
      <c r="Q90" s="987"/>
      <c r="R90" s="987"/>
      <c r="S90" s="987"/>
      <c r="T90" s="987"/>
      <c r="U90" s="987"/>
      <c r="V90" s="987"/>
    </row>
    <row r="91" spans="1:22">
      <c r="A91" s="987"/>
      <c r="B91" s="987"/>
      <c r="C91" s="987"/>
      <c r="D91" s="987"/>
      <c r="E91" s="987"/>
      <c r="F91" s="987"/>
      <c r="G91" s="987"/>
      <c r="H91" s="987"/>
      <c r="I91" s="987"/>
      <c r="J91" s="987"/>
      <c r="K91" s="987"/>
      <c r="L91" s="987"/>
      <c r="M91" s="987"/>
      <c r="N91" s="987"/>
      <c r="O91" s="987"/>
      <c r="P91" s="987"/>
      <c r="Q91" s="987"/>
      <c r="R91" s="987"/>
      <c r="S91" s="987"/>
      <c r="T91" s="987"/>
      <c r="U91" s="987"/>
      <c r="V91" s="987"/>
    </row>
    <row r="92" spans="1:22">
      <c r="A92" s="987"/>
      <c r="B92" s="987"/>
      <c r="C92" s="987"/>
      <c r="D92" s="987"/>
      <c r="E92" s="987"/>
      <c r="F92" s="987"/>
      <c r="G92" s="987"/>
      <c r="H92" s="987"/>
      <c r="I92" s="987"/>
      <c r="J92" s="987"/>
      <c r="K92" s="987"/>
      <c r="L92" s="987"/>
      <c r="M92" s="987"/>
      <c r="N92" s="987"/>
      <c r="O92" s="987"/>
      <c r="P92" s="987"/>
      <c r="Q92" s="987"/>
      <c r="R92" s="987"/>
      <c r="S92" s="987"/>
      <c r="T92" s="987"/>
      <c r="U92" s="987"/>
      <c r="V92" s="987"/>
    </row>
    <row r="93" spans="1:22">
      <c r="A93" s="987"/>
      <c r="B93" s="987"/>
      <c r="C93" s="987"/>
      <c r="D93" s="987"/>
      <c r="E93" s="987"/>
      <c r="F93" s="987"/>
      <c r="G93" s="987"/>
      <c r="H93" s="987"/>
      <c r="I93" s="987"/>
      <c r="J93" s="987"/>
      <c r="K93" s="987"/>
      <c r="L93" s="987"/>
      <c r="M93" s="987"/>
      <c r="N93" s="987"/>
      <c r="O93" s="987"/>
      <c r="P93" s="987"/>
      <c r="Q93" s="987"/>
      <c r="R93" s="987"/>
      <c r="S93" s="987"/>
      <c r="T93" s="987"/>
      <c r="U93" s="987"/>
      <c r="V93" s="987"/>
    </row>
    <row r="94" spans="1:22">
      <c r="A94" s="987"/>
      <c r="B94" s="987"/>
      <c r="C94" s="987"/>
      <c r="D94" s="987"/>
      <c r="E94" s="987"/>
      <c r="F94" s="987"/>
      <c r="G94" s="987"/>
      <c r="H94" s="987"/>
      <c r="I94" s="987"/>
      <c r="J94" s="987"/>
      <c r="K94" s="987"/>
      <c r="L94" s="987"/>
      <c r="M94" s="987"/>
      <c r="N94" s="987"/>
      <c r="O94" s="987"/>
      <c r="P94" s="987"/>
      <c r="Q94" s="987"/>
      <c r="R94" s="987"/>
      <c r="S94" s="987"/>
      <c r="T94" s="987"/>
      <c r="U94" s="987"/>
      <c r="V94" s="987"/>
    </row>
    <row r="95" spans="1:22">
      <c r="A95" s="987"/>
      <c r="B95" s="987"/>
      <c r="C95" s="987"/>
      <c r="D95" s="987"/>
      <c r="E95" s="987"/>
      <c r="F95" s="987"/>
      <c r="G95" s="987"/>
      <c r="H95" s="987"/>
      <c r="I95" s="987"/>
      <c r="J95" s="987"/>
      <c r="K95" s="987"/>
      <c r="L95" s="987"/>
      <c r="M95" s="987"/>
      <c r="N95" s="987"/>
      <c r="O95" s="987"/>
      <c r="P95" s="987"/>
      <c r="Q95" s="987"/>
      <c r="R95" s="987"/>
      <c r="S95" s="987"/>
      <c r="T95" s="987"/>
      <c r="U95" s="987"/>
      <c r="V95" s="987"/>
    </row>
    <row r="96" spans="1:22">
      <c r="A96" s="987"/>
      <c r="B96" s="987"/>
      <c r="C96" s="987"/>
      <c r="D96" s="987"/>
      <c r="E96" s="987"/>
      <c r="F96" s="987"/>
      <c r="G96" s="987"/>
      <c r="H96" s="987"/>
      <c r="I96" s="987"/>
      <c r="J96" s="987"/>
      <c r="K96" s="987"/>
      <c r="L96" s="987"/>
      <c r="M96" s="987"/>
      <c r="N96" s="987"/>
      <c r="O96" s="987"/>
      <c r="P96" s="987"/>
      <c r="Q96" s="987"/>
      <c r="R96" s="987"/>
      <c r="S96" s="987"/>
      <c r="T96" s="987"/>
      <c r="U96" s="987"/>
      <c r="V96" s="987"/>
    </row>
    <row r="97" spans="1:22">
      <c r="A97" s="987"/>
      <c r="B97" s="987"/>
      <c r="C97" s="987"/>
      <c r="D97" s="987"/>
      <c r="E97" s="987"/>
      <c r="F97" s="987"/>
      <c r="G97" s="987"/>
      <c r="H97" s="987"/>
      <c r="I97" s="987"/>
      <c r="J97" s="987"/>
      <c r="K97" s="987"/>
      <c r="L97" s="987"/>
      <c r="M97" s="987"/>
      <c r="N97" s="987"/>
      <c r="O97" s="987"/>
      <c r="P97" s="987"/>
      <c r="Q97" s="987"/>
      <c r="R97" s="987"/>
      <c r="S97" s="987"/>
      <c r="T97" s="987"/>
      <c r="U97" s="987"/>
      <c r="V97" s="987"/>
    </row>
    <row r="98" spans="1:22">
      <c r="A98" s="987"/>
      <c r="B98" s="987"/>
      <c r="C98" s="987"/>
      <c r="D98" s="987"/>
      <c r="E98" s="987"/>
      <c r="F98" s="987"/>
      <c r="G98" s="987"/>
      <c r="H98" s="987"/>
      <c r="I98" s="987"/>
      <c r="J98" s="987"/>
      <c r="K98" s="987"/>
      <c r="L98" s="987"/>
      <c r="M98" s="987"/>
      <c r="N98" s="987"/>
      <c r="O98" s="987"/>
      <c r="P98" s="987"/>
      <c r="Q98" s="987"/>
      <c r="R98" s="987"/>
      <c r="S98" s="987"/>
      <c r="T98" s="987"/>
      <c r="U98" s="987"/>
      <c r="V98" s="987"/>
    </row>
    <row r="99" spans="1:22">
      <c r="A99" s="987"/>
      <c r="B99" s="987"/>
      <c r="C99" s="987"/>
      <c r="D99" s="987"/>
      <c r="E99" s="987"/>
      <c r="F99" s="987"/>
      <c r="G99" s="987"/>
      <c r="H99" s="987"/>
      <c r="I99" s="987"/>
      <c r="J99" s="987"/>
      <c r="K99" s="987"/>
      <c r="L99" s="987"/>
      <c r="M99" s="987"/>
      <c r="N99" s="987"/>
      <c r="O99" s="987"/>
      <c r="P99" s="987"/>
      <c r="Q99" s="987"/>
      <c r="R99" s="987"/>
      <c r="S99" s="987"/>
      <c r="T99" s="987"/>
      <c r="U99" s="987"/>
      <c r="V99" s="987"/>
    </row>
    <row r="100" spans="1:22">
      <c r="A100" s="987"/>
      <c r="B100" s="987"/>
      <c r="C100" s="987"/>
      <c r="D100" s="987"/>
      <c r="E100" s="987"/>
      <c r="F100" s="987"/>
      <c r="G100" s="987"/>
      <c r="H100" s="987"/>
      <c r="I100" s="987"/>
      <c r="J100" s="987"/>
      <c r="K100" s="987"/>
      <c r="L100" s="987"/>
      <c r="M100" s="987"/>
      <c r="N100" s="987"/>
      <c r="O100" s="987"/>
      <c r="P100" s="987"/>
      <c r="Q100" s="987"/>
      <c r="R100" s="987"/>
      <c r="S100" s="987"/>
      <c r="T100" s="987"/>
      <c r="U100" s="987"/>
      <c r="V100" s="987"/>
    </row>
    <row r="101" spans="1:22">
      <c r="A101" s="987"/>
      <c r="B101" s="987"/>
      <c r="C101" s="987"/>
      <c r="D101" s="987"/>
      <c r="E101" s="987"/>
      <c r="F101" s="987"/>
      <c r="G101" s="987"/>
      <c r="H101" s="987"/>
      <c r="I101" s="987"/>
      <c r="J101" s="987"/>
      <c r="K101" s="987"/>
      <c r="L101" s="987"/>
      <c r="M101" s="987"/>
      <c r="N101" s="987"/>
      <c r="O101" s="987"/>
      <c r="P101" s="987"/>
      <c r="Q101" s="987"/>
      <c r="R101" s="987"/>
      <c r="S101" s="987"/>
      <c r="T101" s="987"/>
      <c r="U101" s="987"/>
      <c r="V101" s="987"/>
    </row>
    <row r="102" spans="1:22">
      <c r="A102" s="987"/>
      <c r="B102" s="987"/>
      <c r="C102" s="987"/>
      <c r="D102" s="987"/>
      <c r="E102" s="987"/>
      <c r="F102" s="987"/>
      <c r="G102" s="987"/>
      <c r="H102" s="987"/>
      <c r="I102" s="987"/>
      <c r="J102" s="987"/>
      <c r="K102" s="987"/>
      <c r="L102" s="987"/>
      <c r="M102" s="987"/>
      <c r="N102" s="987"/>
      <c r="O102" s="987"/>
      <c r="P102" s="987"/>
      <c r="Q102" s="987"/>
      <c r="R102" s="987"/>
      <c r="S102" s="987"/>
      <c r="T102" s="987"/>
      <c r="U102" s="987"/>
      <c r="V102" s="987"/>
    </row>
    <row r="103" spans="1:22">
      <c r="A103" s="987"/>
      <c r="B103" s="987"/>
      <c r="C103" s="987"/>
      <c r="D103" s="987"/>
      <c r="E103" s="987"/>
      <c r="F103" s="987"/>
      <c r="G103" s="987"/>
      <c r="H103" s="987"/>
      <c r="I103" s="987"/>
      <c r="J103" s="987"/>
      <c r="K103" s="987"/>
      <c r="L103" s="987"/>
      <c r="M103" s="987"/>
      <c r="N103" s="987"/>
      <c r="O103" s="987"/>
      <c r="P103" s="987"/>
      <c r="Q103" s="987"/>
      <c r="R103" s="987"/>
      <c r="S103" s="987"/>
      <c r="T103" s="987"/>
      <c r="U103" s="987"/>
      <c r="V103" s="987"/>
    </row>
    <row r="104" spans="1:22" ht="15.6">
      <c r="A104" s="1331" t="s">
        <v>875</v>
      </c>
      <c r="B104" s="1331"/>
      <c r="C104" s="1331"/>
      <c r="D104" s="1331"/>
      <c r="E104" s="1331"/>
      <c r="F104" s="1331"/>
      <c r="G104" s="1331"/>
      <c r="H104" s="1331"/>
      <c r="I104" s="1331"/>
      <c r="J104" s="1331"/>
      <c r="K104" s="1331"/>
      <c r="L104" s="1331"/>
      <c r="M104" s="1331"/>
      <c r="N104" s="1331"/>
      <c r="O104" s="1331"/>
      <c r="P104" s="1331"/>
      <c r="Q104" s="1331"/>
      <c r="R104" s="1331"/>
      <c r="S104" s="1331"/>
      <c r="T104" s="987"/>
      <c r="U104" s="987"/>
      <c r="V104" s="987"/>
    </row>
    <row r="105" spans="1:22">
      <c r="A105" s="987"/>
      <c r="B105" s="987"/>
      <c r="C105" s="987"/>
      <c r="D105" s="987"/>
      <c r="E105" s="987"/>
      <c r="F105" s="987"/>
      <c r="G105" s="987"/>
      <c r="H105" s="987"/>
      <c r="I105" s="987"/>
      <c r="J105" s="987"/>
      <c r="K105" s="987"/>
      <c r="L105" s="987"/>
      <c r="M105" s="987"/>
      <c r="N105" s="987"/>
      <c r="O105" s="987"/>
      <c r="P105" s="987"/>
      <c r="Q105" s="987"/>
      <c r="R105" s="987"/>
      <c r="S105" s="987"/>
      <c r="T105" s="987"/>
      <c r="U105" s="987"/>
      <c r="V105" s="987"/>
    </row>
    <row r="106" spans="1:22">
      <c r="A106" s="987"/>
      <c r="B106" s="987"/>
      <c r="C106" s="987"/>
      <c r="D106" s="987"/>
      <c r="E106" s="987"/>
      <c r="F106" s="987"/>
      <c r="G106" s="987"/>
      <c r="H106" s="987"/>
      <c r="I106" s="987"/>
      <c r="J106" s="987"/>
      <c r="K106" s="987"/>
      <c r="L106" s="987"/>
      <c r="M106" s="987"/>
      <c r="N106" s="987"/>
      <c r="O106" s="987"/>
      <c r="P106" s="987"/>
      <c r="Q106" s="987"/>
      <c r="R106" s="987"/>
      <c r="S106" s="987"/>
      <c r="T106" s="987"/>
      <c r="U106" s="987"/>
      <c r="V106" s="987"/>
    </row>
    <row r="107" spans="1:22">
      <c r="A107" s="987"/>
      <c r="B107" s="987"/>
      <c r="C107" s="987"/>
      <c r="D107" s="987"/>
      <c r="E107" s="987"/>
      <c r="F107" s="987"/>
      <c r="G107" s="987"/>
      <c r="H107" s="987"/>
      <c r="I107" s="987"/>
      <c r="J107" s="987"/>
      <c r="K107" s="987"/>
      <c r="L107" s="987"/>
      <c r="M107" s="987"/>
      <c r="N107" s="987"/>
      <c r="O107" s="987"/>
      <c r="P107" s="987"/>
      <c r="Q107" s="987"/>
      <c r="R107" s="987"/>
      <c r="S107" s="987"/>
      <c r="T107" s="987"/>
      <c r="U107" s="987"/>
      <c r="V107" s="987"/>
    </row>
  </sheetData>
  <mergeCells count="9">
    <mergeCell ref="A83:J83"/>
    <mergeCell ref="L83:U83"/>
    <mergeCell ref="A104:S104"/>
    <mergeCell ref="A5:H6"/>
    <mergeCell ref="L5:S5"/>
    <mergeCell ref="A33:H33"/>
    <mergeCell ref="L33:S33"/>
    <mergeCell ref="A59:H59"/>
    <mergeCell ref="L59:U5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009900"/>
  </sheetPr>
  <dimension ref="A1:AG125"/>
  <sheetViews>
    <sheetView showGridLines="0" tabSelected="1" zoomScale="87" zoomScaleNormal="87" workbookViewId="0">
      <selection activeCell="C19" sqref="C19"/>
    </sheetView>
  </sheetViews>
  <sheetFormatPr defaultColWidth="9.109375" defaultRowHeight="13.2"/>
  <cols>
    <col min="1" max="1" width="18.5546875" style="6" customWidth="1"/>
    <col min="2" max="2" width="43.109375" style="6" customWidth="1"/>
    <col min="3" max="5" width="24.6640625" style="5" customWidth="1"/>
    <col min="6" max="6" width="52.5546875" style="524" customWidth="1"/>
    <col min="7" max="7" width="2.6640625" style="524" customWidth="1"/>
    <col min="8" max="8" width="3.109375" style="525" customWidth="1"/>
    <col min="9" max="9" width="10.33203125" style="525" hidden="1" customWidth="1"/>
    <col min="10" max="10" width="7.44140625" style="525" hidden="1" customWidth="1"/>
    <col min="11" max="11" width="3.109375" style="525" customWidth="1"/>
    <col min="12" max="12" width="10.44140625" style="4" customWidth="1"/>
    <col min="13" max="13" width="11.5546875" style="4" bestFit="1" customWidth="1"/>
    <col min="14" max="14" width="10.33203125" style="4" customWidth="1"/>
    <col min="15" max="15" width="12.33203125" style="4" customWidth="1"/>
    <col min="16" max="16" width="7.109375" style="4" customWidth="1"/>
    <col min="17" max="23" width="9.109375" style="4"/>
    <col min="24" max="24" width="11.5546875" style="4" bestFit="1" customWidth="1"/>
    <col min="25" max="32" width="9.109375" style="4"/>
    <col min="33" max="16384" width="9.109375" style="5"/>
  </cols>
  <sheetData>
    <row r="1" spans="1:24" ht="3.9" customHeight="1" thickBot="1">
      <c r="I1" s="1172"/>
      <c r="J1" s="1172"/>
      <c r="K1" s="1172"/>
    </row>
    <row r="2" spans="1:24" ht="97.5" customHeight="1" thickBot="1">
      <c r="A2" s="597"/>
      <c r="B2" s="1334" t="s">
        <v>935</v>
      </c>
      <c r="C2" s="1334"/>
      <c r="D2" s="1334"/>
      <c r="E2" s="1334"/>
      <c r="F2" s="1178" t="str">
        <f>IF(L2&lt;&gt;"","Máte súhlas z oddelenia vývoja produktov ŽP?","")</f>
        <v/>
      </c>
      <c r="G2" s="1166"/>
      <c r="H2" s="1171"/>
      <c r="I2" s="1175" t="b">
        <v>0</v>
      </c>
      <c r="J2" s="1179" t="s">
        <v>920</v>
      </c>
      <c r="K2" s="1162"/>
      <c r="L2" s="1337" t="str">
        <f>IF((tnu&gt;=35000),"Je potrebné kontaktovať oddelenie vývoja produktov ŽP a uloženú kalkuláciu poistenia poslať na uraz@union.sk",IF(_tnu450&gt;=35000,"Je potrebné kontaktovať oddelenie vývoja produktov ŽP a uloženú kalkuláciu poistenia poslať na uraz@union.sk",IF(su&gt;=35000,"Je potrebné kontaktovať oddelenie vývoja produktov ŽP a uloženú kalkuláciu poistenia poslať na uraz@union.sk","")))</f>
        <v/>
      </c>
      <c r="M2" s="1337"/>
      <c r="N2" s="1337"/>
      <c r="O2" s="1337"/>
      <c r="P2" s="1020"/>
      <c r="Q2" s="1174">
        <f>IF(OR(tnu&gt;=35000,_tnu450&gt;=35000,su&gt;=35000),1,0)</f>
        <v>0</v>
      </c>
      <c r="X2" s="549"/>
    </row>
    <row r="3" spans="1:24" ht="20.25" customHeight="1" thickBot="1">
      <c r="A3" s="555"/>
      <c r="B3" s="552"/>
      <c r="C3" s="553"/>
      <c r="D3" s="554"/>
      <c r="E3" s="554"/>
      <c r="F3" s="1180" t="str">
        <f ca="1">IF(COUNTBLANK(F4:F40)&lt;37,"Chyba!",IF(L2&lt;&gt;"",IF(I2=TRUE,"O.K.","KONTAKTUJ OVPŽP!"),"O.K."))</f>
        <v>O.K.</v>
      </c>
      <c r="G3" s="1161"/>
      <c r="H3" s="683" t="str">
        <f ca="1">IF(COUNTBLANK(F4:F38)&lt;35,"Chyba !","O.K.")</f>
        <v>O.K.</v>
      </c>
      <c r="I3" s="1176"/>
      <c r="J3" s="1177"/>
      <c r="K3" s="1167"/>
    </row>
    <row r="4" spans="1:24" ht="17.100000000000001" customHeight="1">
      <c r="A4" s="558"/>
      <c r="B4" s="559"/>
      <c r="C4" s="560" t="s">
        <v>26</v>
      </c>
      <c r="D4" s="559"/>
      <c r="E4" s="1182" t="s">
        <v>949</v>
      </c>
      <c r="F4" s="617" t="str">
        <f ca="1">IF(RCD&lt;TODAY()+1,"Začiatok poistenia môže byť najskôr zajtra!","")</f>
        <v/>
      </c>
      <c r="G4" s="617"/>
      <c r="H4" s="627"/>
      <c r="I4" s="1250"/>
      <c r="J4" s="1173"/>
      <c r="K4" s="627"/>
      <c r="L4" s="1339" t="str">
        <f>IF(OR(L6&lt;&gt;"",L9&lt;&gt;""),"Dokumentácia pre ocenenie","")</f>
        <v/>
      </c>
      <c r="M4" s="1339"/>
      <c r="N4" s="1339"/>
      <c r="O4" s="1339"/>
      <c r="P4" s="1019"/>
      <c r="X4" s="602"/>
    </row>
    <row r="5" spans="1:24" ht="15" customHeight="1">
      <c r="A5" s="26"/>
      <c r="B5" s="1" t="s">
        <v>22</v>
      </c>
      <c r="C5" s="27">
        <f ca="1">TODAY()+1</f>
        <v>44565</v>
      </c>
      <c r="E5" s="3"/>
      <c r="F5" s="614"/>
      <c r="G5" s="614"/>
      <c r="H5" s="627"/>
      <c r="I5" s="1169"/>
      <c r="J5" s="1167"/>
      <c r="K5" s="1167"/>
      <c r="L5" s="1339"/>
      <c r="M5" s="1339"/>
      <c r="N5" s="1339"/>
      <c r="O5" s="1339"/>
      <c r="P5" s="1019"/>
    </row>
    <row r="6" spans="1:24" ht="15" customHeight="1">
      <c r="A6" s="9"/>
      <c r="B6" s="1" t="s">
        <v>0</v>
      </c>
      <c r="C6" s="551">
        <v>5</v>
      </c>
      <c r="D6" s="23" t="str">
        <f>IF(AND(C6&gt;0,C6&lt;5),IF(C6=1,"rok","roky"),"rokov")</f>
        <v>rokov</v>
      </c>
      <c r="E6" s="3"/>
      <c r="F6" s="1183" t="str">
        <f ca="1">IF(dospely=TRUE,IF(AND(x+n&gt;70,dospely=TRUE),"Poistná doba je maximálne do veku 70 rokov poisteného!",IF(n&lt;5,"Minimálna poistná doba je 5 rokov!","")),IF(C6&lt;=(15-C30),"","Znížte poistnú dobu max. do 15. roku dieťaťa!"))</f>
        <v/>
      </c>
      <c r="G6" s="556"/>
      <c r="H6" s="627"/>
      <c r="I6" s="1168"/>
      <c r="J6" s="627"/>
      <c r="K6" s="627"/>
      <c r="L6" s="1338" t="str">
        <f>IF(dn&gt;=16," - potrebné vyplniť Finančný dotazník (príloha č. 4.1) podľa pokynov v manuály!","")</f>
        <v/>
      </c>
      <c r="M6" s="1338"/>
      <c r="N6" s="1338"/>
      <c r="O6" s="1338"/>
      <c r="P6" s="1019"/>
    </row>
    <row r="7" spans="1:24" ht="15" customHeight="1">
      <c r="A7" s="26"/>
      <c r="B7" s="1" t="s">
        <v>681</v>
      </c>
      <c r="C7" s="532">
        <f ca="1">IF(AND(test="O.K.",dospely=TRUE),DATE(YEAR(RCD)+n,MONTH(RCD),DAY(RCD)-1),IF(AND(test="o.k.",dospely=FALSE,pocetdeti&gt;0),DATE(YEAR(RCD)+(15-xd),MONTH(RCD),DAY(RCD)-1),"?"))</f>
        <v>46390</v>
      </c>
      <c r="D7" s="523"/>
      <c r="E7" s="3"/>
      <c r="F7" s="1335" t="str">
        <f>IF(OR(t=1,t=2,t=4,t=12),"","Platenie poistného je možné 1, 2, 4 alebo 12 krát ročne!")</f>
        <v/>
      </c>
      <c r="G7" s="1336"/>
      <c r="H7" s="1336"/>
      <c r="I7" s="1157"/>
      <c r="J7" s="1157"/>
      <c r="K7" s="1170"/>
      <c r="L7" s="1338"/>
      <c r="M7" s="1338"/>
      <c r="N7" s="1338"/>
      <c r="O7" s="1338"/>
      <c r="P7" s="1019"/>
    </row>
    <row r="8" spans="1:24" ht="15" customHeight="1">
      <c r="A8" s="10"/>
      <c r="B8" s="1" t="s">
        <v>1</v>
      </c>
      <c r="C8" s="7">
        <v>2</v>
      </c>
      <c r="D8" s="23" t="s">
        <v>2</v>
      </c>
      <c r="E8" s="3"/>
      <c r="F8" s="1335"/>
      <c r="G8" s="1336"/>
      <c r="H8" s="1336"/>
      <c r="I8" s="1157"/>
      <c r="J8" s="1157"/>
      <c r="K8" s="1170"/>
      <c r="L8" s="1338"/>
      <c r="M8" s="1338"/>
      <c r="N8" s="1338"/>
      <c r="O8" s="1338"/>
      <c r="P8" s="1019"/>
    </row>
    <row r="9" spans="1:24" ht="18" customHeight="1" thickBot="1">
      <c r="A9" s="30"/>
      <c r="B9" s="805" t="s">
        <v>777</v>
      </c>
      <c r="C9" s="806" t="s">
        <v>959</v>
      </c>
      <c r="D9" s="31"/>
      <c r="E9" s="32"/>
      <c r="F9" s="1335"/>
      <c r="G9" s="1336"/>
      <c r="H9" s="1336"/>
      <c r="I9" s="1157"/>
      <c r="J9" s="1157"/>
      <c r="K9" s="1170"/>
      <c r="L9" s="1338" t="str">
        <f>IF(su&gt;=51000," - potrebné vyplniť Dotazník k poisteniu Union Istota (príloha č. 4.3)","")</f>
        <v/>
      </c>
      <c r="M9" s="1338"/>
      <c r="N9" s="1338"/>
      <c r="O9" s="1338"/>
      <c r="P9" s="1019"/>
    </row>
    <row r="10" spans="1:24" ht="15" customHeight="1" thickBot="1">
      <c r="A10" s="33"/>
      <c r="B10" s="34"/>
      <c r="C10" s="38"/>
      <c r="D10" s="35"/>
      <c r="E10" s="35"/>
      <c r="F10" s="556"/>
      <c r="G10" s="556"/>
      <c r="H10" s="526"/>
      <c r="I10" s="526"/>
      <c r="J10" s="526"/>
      <c r="K10" s="526"/>
      <c r="L10" s="1338"/>
      <c r="M10" s="1338"/>
      <c r="N10" s="1338"/>
      <c r="O10" s="1338"/>
      <c r="P10" s="1019"/>
    </row>
    <row r="11" spans="1:24" ht="21" customHeight="1" thickBot="1">
      <c r="A11" s="573"/>
      <c r="B11" s="574"/>
      <c r="C11" s="575" t="s">
        <v>602</v>
      </c>
      <c r="D11" s="576"/>
      <c r="E11" s="577"/>
      <c r="F11" s="614" t="str">
        <f>IF(AND(dospely=FALSE,OR(tnu&gt;0,_tnu450&gt;0,su&gt;0,do&gt;0,cnl&gt;0,dn&gt;0,mo&gt;0,kch&gt;0,b="a")),"Označ poistné krytie - dospelý, ak sú dojednané riziká!","")</f>
        <v/>
      </c>
      <c r="G11" s="614"/>
      <c r="H11" s="526"/>
      <c r="I11" s="526"/>
      <c r="J11" s="526"/>
      <c r="K11" s="526"/>
      <c r="L11" s="1019"/>
      <c r="M11" s="1019"/>
      <c r="N11" s="1019"/>
      <c r="O11" s="1019"/>
    </row>
    <row r="12" spans="1:24" ht="18.75" customHeight="1">
      <c r="A12" s="558"/>
      <c r="B12" s="559"/>
      <c r="C12" s="560" t="s">
        <v>13</v>
      </c>
      <c r="D12" s="562"/>
      <c r="E12" s="561"/>
      <c r="F12" s="616"/>
      <c r="G12" s="616"/>
      <c r="H12" s="526"/>
      <c r="I12" s="526"/>
      <c r="J12" s="526"/>
      <c r="K12" s="526"/>
    </row>
    <row r="13" spans="1:24" ht="15" customHeight="1">
      <c r="A13" s="10"/>
      <c r="B13" s="1047" t="s">
        <v>918</v>
      </c>
      <c r="C13" s="7">
        <v>1980</v>
      </c>
      <c r="D13" s="23"/>
      <c r="E13" s="3"/>
      <c r="F13" s="556"/>
      <c r="G13" s="556"/>
    </row>
    <row r="14" spans="1:24" ht="15" customHeight="1">
      <c r="A14" s="10"/>
      <c r="B14" s="1" t="s">
        <v>683</v>
      </c>
      <c r="C14" s="557">
        <f ca="1">IF(C13="","",YEAR(RCD)-C13)</f>
        <v>42</v>
      </c>
      <c r="D14" s="23" t="str">
        <f ca="1">IF(AND(C14&gt;0,C14&lt;5),IF(C14=1,"rok","roky"),"rokov")</f>
        <v>rokov</v>
      </c>
      <c r="E14" s="3"/>
      <c r="F14" s="556" t="str">
        <f ca="1">IF(dospely=TRUE,IF(x&lt;15,"Vstupný vek dospelého musí byť aspoň 15 rokov!",IF(x&gt;65,"Vstupný vek dospelého nesmie byť vyšší ako 65 rokov!","")),"")</f>
        <v/>
      </c>
      <c r="G14" s="556"/>
      <c r="H14" s="1160"/>
      <c r="I14" s="1160"/>
      <c r="J14" s="1160"/>
      <c r="K14" s="1160"/>
      <c r="L14" s="1333"/>
      <c r="M14" s="1333"/>
      <c r="N14" s="1333"/>
    </row>
    <row r="15" spans="1:24" ht="15" customHeight="1" thickBot="1">
      <c r="A15" s="24"/>
      <c r="B15" s="25" t="s">
        <v>25</v>
      </c>
      <c r="C15" s="11">
        <v>1</v>
      </c>
      <c r="D15" s="23"/>
      <c r="E15" s="3"/>
      <c r="F15" s="615"/>
      <c r="G15" s="615"/>
      <c r="L15" s="1333"/>
      <c r="M15" s="1333"/>
      <c r="N15" s="1333"/>
    </row>
    <row r="16" spans="1:24" ht="14.4" thickBot="1">
      <c r="A16" s="563"/>
      <c r="B16" s="564"/>
      <c r="C16" s="565" t="s">
        <v>3</v>
      </c>
      <c r="D16" s="566" t="str">
        <f>IF(t=1,"Ročné poistné",IF(t=2,"Polročné poistné",IF(t=4,"Štvrťročné poistné",IF(t=12,"Mesačné poistné","?"))))</f>
        <v>Polročné poistné</v>
      </c>
      <c r="E16" s="567"/>
      <c r="F16" s="614" t="str">
        <f>IF(dospely=TRUE,IF(AND(tnu&lt;3000,_tnu450&lt;3000),"Ak je poistený dospelý, TNÚ alebo TNÚ PP 450 je povinné riziko!",IF(AND(tnu&gt;0,_tnu450&gt;0),"Nie je možné dojednať obe riziká TNU a TNU PP 450!","")),"")</f>
        <v/>
      </c>
      <c r="G16" s="614"/>
      <c r="L16" s="1333"/>
      <c r="M16" s="1333"/>
      <c r="N16" s="1333"/>
    </row>
    <row r="17" spans="1:14" ht="15" customHeight="1">
      <c r="A17" s="2"/>
      <c r="B17" s="1" t="s">
        <v>606</v>
      </c>
      <c r="C17" s="220">
        <v>9000</v>
      </c>
      <c r="D17" s="222">
        <f ca="1">IF(test1="Chyba !","?",IF(rs=1,VLOOKUP(tnu,vstup!G4:K54,2,0)/t,IF(rs=2,VLOOKUP(tnu,vstup!G4:K54,3,0)/t,IF(rs=3,VLOOKUP(tnu,vstup!G4:K54,4,0)/t,IF(rs=4,VLOOKUP(tnu,vstup!G4:K54,5,0)/t,0)))))</f>
        <v>11.52</v>
      </c>
      <c r="E17" s="48"/>
      <c r="F17" s="615" t="str">
        <f>IF(AND(tnu&gt;0,tnu&lt;3000),"Minimálna poistná suma pre TNU je 3.000 EUR!",IF(tnu&gt;101000,"Maximálna poistná suma pre TNU je 101.000 EUR!",""))</f>
        <v/>
      </c>
      <c r="G17" s="615"/>
      <c r="M17" s="1159"/>
    </row>
    <row r="18" spans="1:14" ht="15" customHeight="1">
      <c r="A18" s="2"/>
      <c r="B18" s="1" t="s">
        <v>603</v>
      </c>
      <c r="C18" s="220">
        <v>0</v>
      </c>
      <c r="D18" s="223">
        <f ca="1">IF(test1="Chyba !","?",IF(rs=1,VLOOKUP(_tnu450,vstup!M4:Q21,2,0)/t,IF(rs=2,VLOOKUP(_tnu450,vstup!M4:Q21,3,0)/t,IF(rs=3,VLOOKUP(_tnu450,vstup!M4:Q21,4,0)/t,IF(rs=4,VLOOKUP(_tnu450,vstup!M4:Q21,5,0)/t,0)))))</f>
        <v>0</v>
      </c>
      <c r="E18" s="221"/>
      <c r="F18" s="615" t="str">
        <f>IF(AND(_tnu450&gt;0,_tnu450&lt;3000),"Minimálna poistná suma pre TNU PP 450 je 3.000 EUR!",IF(_tnu450&gt;35000,"Maximálna poistná suma pre TNU PP 450 je 35.000 EUR!",""))</f>
        <v/>
      </c>
      <c r="G18" s="615"/>
    </row>
    <row r="19" spans="1:14" ht="15" customHeight="1">
      <c r="A19" s="44"/>
      <c r="B19" s="1" t="s">
        <v>11</v>
      </c>
      <c r="C19" s="220">
        <v>9000</v>
      </c>
      <c r="D19" s="224">
        <f ca="1">IF(test1="Chyba !","?",IF(rs=1,VLOOKUP(su,vstup!A4:E54,2,0)/t,IF(rs=2,VLOOKUP(su,vstup!A4:E54,3,0)/t,IF(rs=3,VLOOKUP(su,vstup!A4:E54,4,0)/t,IF(rs=4,VLOOKUP(su,vstup!A4:E54,5,0)/t,0)))))</f>
        <v>9.66</v>
      </c>
      <c r="E19" s="221"/>
      <c r="F19" s="614" t="str">
        <f>IF(AND(su&lt;3000,su&gt;0),"Poistná suma pre SÚ musí byť minimálne 3.000 EUR!",IF(su&gt;101000,"Poistná suma pre SÚ môže byť maximálne 101.000 EUR!",""))</f>
        <v/>
      </c>
      <c r="G19" s="614"/>
    </row>
    <row r="20" spans="1:14" ht="15" customHeight="1">
      <c r="A20" s="2"/>
      <c r="B20" s="1" t="s">
        <v>39</v>
      </c>
      <c r="C20" s="220">
        <v>0</v>
      </c>
      <c r="D20" s="224">
        <f ca="1">IF(test1="Chyba !","?",IF(rs=1,VLOOKUP(do,vstup!A60:E94,2,0)/t,IF(rs=2,VLOOKUP(do,vstup!A60:E94,3,0)/t,IF(rs=3,VLOOKUP(do,vstup!A60:E94,4,0)/t,IF(rs=4,VLOOKUP(do,vstup!A60:E94,5,0)/t,0)))))</f>
        <v>0</v>
      </c>
      <c r="E20" s="221"/>
      <c r="F20" s="614" t="str">
        <f>IF(AND(do&gt;0,do&lt;3),"Denné odškodné musí byť minimálne 3 EUR!",IF(do&gt;36,"Denné odškodné môže byť maximálne 36 EUR!",""))</f>
        <v/>
      </c>
      <c r="G20" s="614"/>
    </row>
    <row r="21" spans="1:14" ht="15" customHeight="1">
      <c r="A21" s="2"/>
      <c r="B21" s="1" t="s">
        <v>37</v>
      </c>
      <c r="C21" s="220">
        <v>0</v>
      </c>
      <c r="D21" s="224">
        <f ca="1">IF(test1="Chyba !","?",IF(rs=1,VLOOKUP(cnl,vstup!M60:Q91,2,0)/t,IF(rs=2,VLOOKUP(cnl,vstup!M60:Q91,3,0)/t,IF(rs=3,VLOOKUP(cnl,vstup!M60:Q91,4,0)/t,IF(rs=4,VLOOKUP(cnl,vstup!M60:Q91,5,0)/t,0)))))</f>
        <v>0</v>
      </c>
      <c r="E21" s="221"/>
      <c r="F21" s="614" t="str">
        <f>IF(AND(cnl&lt;500,cnl&gt;0),"Poistná suma pre ČNL musí byť minimálne 500 EUR!",IF(cnl&gt;3500,"Poistná suma pre ČNL môže byť maximálne 3.500 EUR!",""))</f>
        <v/>
      </c>
      <c r="G21" s="614"/>
    </row>
    <row r="22" spans="1:14" ht="15" customHeight="1">
      <c r="A22" s="2"/>
      <c r="B22" s="1" t="s">
        <v>38</v>
      </c>
      <c r="C22" s="220">
        <v>0</v>
      </c>
      <c r="D22" s="224">
        <f ca="1">IF(test1="Chyba !","?",IF(rs=1,VLOOKUP(dn,vstup!G60:K83,2,0)/t,IF(rs=2,VLOOKUP(dn,vstup!G60:K83,3,0)/t,IF(rs=3,VLOOKUP(dn,vstup!G60:K83,4,0)/t,IF(rs=4,VLOOKUP(dn,vstup!G60:K83,5,0)/t,0)))))</f>
        <v>0</v>
      </c>
      <c r="E22" s="221"/>
      <c r="F22" s="614" t="str">
        <f>IF(AND(dn&gt;0,dn&lt;3),"Denná náhrada musí byť minimálne 3 EUR!",IF(dn&gt;25,"Denná náhrada môže byť maximálne 25 EUR!",""))</f>
        <v/>
      </c>
      <c r="G22" s="614"/>
    </row>
    <row r="23" spans="1:14" ht="15" customHeight="1">
      <c r="A23" s="2"/>
      <c r="B23" s="1" t="s">
        <v>12</v>
      </c>
      <c r="C23" s="220">
        <v>0</v>
      </c>
      <c r="D23" s="224">
        <f ca="1">IF(test1="Chyba !","?",IF(rs=1,VLOOKUP(mo,vstup!M29:Q48,2,0)/t,IF(rs=2,VLOOKUP(mo,vstup!M29:Q48,3,0)/t,IF(rs=3,VLOOKUP(mo,vstup!M29:Q48,4,0)/t,IF(rs=4,VLOOKUP(mo,vstup!M29:Q48,5,0)/t,0)))))</f>
        <v>0</v>
      </c>
      <c r="E23" s="221"/>
      <c r="F23" s="614" t="str">
        <f>IF(AND(mo&lt;16000,mo&gt;0),"Poistná suma pre maximálnu ochranu musí byť minimálne 16.000 EUR!",IF(mo&gt;34000,"Poistná suma pre maximálnu ochranu môže byť maximálne 34.000 EUR!",IF(tnu+mo&gt;101000,"Súčet poistnej sumy pre TNU a MO nesmie presiahnuť 101.000 EUR!",IF(_tnu450+mo&gt;50000,"Súčet poistnej sumy pre TNU PP450 a MO nesmie presiahnuť 50.000 EUR!",""))))</f>
        <v/>
      </c>
      <c r="G23" s="614"/>
    </row>
    <row r="24" spans="1:14" ht="15" customHeight="1">
      <c r="A24" s="2"/>
      <c r="B24" s="1" t="s">
        <v>604</v>
      </c>
      <c r="C24" s="220">
        <v>0</v>
      </c>
      <c r="D24" s="224">
        <f ca="1">IF(test1="Chyba !","?",IF(rs=1,VLOOKUP(kch,vstup!S60:W112,2,0)/t,IF(rs=2,VLOOKUP(kch,vstup!S60:W112,3,0)/t,IF(rs=3,VLOOKUP(kch,vstup!S60:W112,4,0)/t,IF(rs=4,VLOOKUP(kch,vstup!S60:W112,5,0)/t,0)))))</f>
        <v>0</v>
      </c>
      <c r="E24" s="221"/>
      <c r="F24" s="614" t="str">
        <f>IF(AND(kch&gt;0,kch&lt;160),"Kompenzácia za chirurgický zákrok musí byť minimálne 160 EUR!",IF(kch&gt;670,"Kompenzácia za chirurgický zákrok môže byť maximálne 670 EUR!",""))</f>
        <v/>
      </c>
      <c r="G24" s="614"/>
    </row>
    <row r="25" spans="1:14" ht="15" customHeight="1">
      <c r="A25" s="44"/>
      <c r="B25" s="1" t="s">
        <v>605</v>
      </c>
      <c r="C25" s="220" t="s">
        <v>924</v>
      </c>
      <c r="D25" s="225">
        <f ca="1">IF(test1="Chyba !","?",IF(b="a",IF(rs=1,VLOOKUP(_tnu2,vstup!S4:W55,2,0)/t,IF(rs=2,VLOOKUP(_tnu2,vstup!S4:W55,3,0)/t,IF(rs=3,VLOOKUP(_tnu2,vstup!S4:W55,4,0)/t,IF(rs=4,VLOOKUP(_tnu2,vstup!S4:W55,5,0)/t,0)))),0))</f>
        <v>0</v>
      </c>
      <c r="E25" s="603">
        <f ca="1">IF(test1="Chyba !","?",IF(tnu&gt;0,tnu,IF(_tnu450&gt;0,_tnu450,0)))</f>
        <v>9000</v>
      </c>
      <c r="F25" s="617" t="str">
        <f>IF(AND(b="a",tnu=0,_tnu450=0,dospely=TRUE),"Nie je možné dojednať bolestné bez TNÚ alebo TNÚ PP 450!","")</f>
        <v/>
      </c>
      <c r="G25" s="617"/>
    </row>
    <row r="26" spans="1:14" ht="24" customHeight="1" thickBot="1">
      <c r="A26" s="568"/>
      <c r="B26" s="569"/>
      <c r="C26" s="570" t="str">
        <f>CONCATENATE(IF(t=1,"Ročné ",IF(t=2,"Polročné ",IF(t=4,"Štvrťročné ",IF(t=12,"Mesačné ","?")))),"poistné za poisteného")</f>
        <v>Polročné poistné za poisteného</v>
      </c>
      <c r="D26" s="571">
        <f ca="1">IF(test1="Chyba !","?",SUM(D17:D25))</f>
        <v>21.18</v>
      </c>
      <c r="E26" s="572"/>
      <c r="F26" s="617" t="str">
        <f>IF(AND(cnl&gt;0,dn&gt;0),"Nie je možné naraz dojednať denné náhrady a čas nevyhnutného liečenia, treba vybrať iba jedno riziko!","")</f>
        <v/>
      </c>
      <c r="G26" s="617"/>
    </row>
    <row r="27" spans="1:14" ht="10.5" customHeight="1" thickBot="1">
      <c r="A27" s="36"/>
      <c r="B27" s="37"/>
      <c r="C27" s="39"/>
      <c r="D27" s="40"/>
      <c r="E27" s="40"/>
      <c r="F27" s="618"/>
      <c r="G27" s="618"/>
    </row>
    <row r="28" spans="1:14" ht="22.5" customHeight="1" thickBot="1">
      <c r="A28" s="578"/>
      <c r="B28" s="579"/>
      <c r="C28" s="240" t="s">
        <v>30</v>
      </c>
      <c r="D28" s="580"/>
      <c r="E28" s="581"/>
      <c r="F28" s="619"/>
      <c r="G28" s="1163"/>
      <c r="H28" s="527"/>
      <c r="I28" s="527"/>
      <c r="J28" s="527"/>
      <c r="K28" s="527"/>
      <c r="N28" s="683">
        <v>22</v>
      </c>
    </row>
    <row r="29" spans="1:14" ht="15" customHeight="1">
      <c r="A29" s="41"/>
      <c r="B29" s="1" t="s">
        <v>684</v>
      </c>
      <c r="C29" s="529"/>
      <c r="D29" s="23"/>
      <c r="E29" s="42"/>
      <c r="F29" s="556"/>
      <c r="G29" s="556"/>
      <c r="H29" s="527"/>
      <c r="I29" s="527"/>
      <c r="J29" s="527"/>
      <c r="K29" s="527"/>
    </row>
    <row r="30" spans="1:14" ht="15" customHeight="1">
      <c r="A30" s="41"/>
      <c r="B30" s="1" t="s">
        <v>680</v>
      </c>
      <c r="C30" s="557" t="str">
        <f>IF(C29="","",YEAR(RCD)-C29)</f>
        <v/>
      </c>
      <c r="D30" s="23"/>
      <c r="E30" s="42"/>
      <c r="F30" s="556" t="str">
        <f>IF(pocetdeti&gt;0,IF(xd&gt;14,"Vstupný vek dieťaťa nesmie byť vyšší ako 14 rokov!",IF(AND(dospely=FALSE,pocetdeti&gt;0,xd&gt;10),"Ak sú poistené iba deti, maximálny vstupný vek je 10 rokov!","")),"")</f>
        <v/>
      </c>
      <c r="G30" s="556"/>
      <c r="H30" s="527"/>
      <c r="I30" s="527"/>
      <c r="J30" s="527"/>
      <c r="K30" s="527"/>
    </row>
    <row r="31" spans="1:14" ht="15" customHeight="1" thickBot="1">
      <c r="A31" s="41"/>
      <c r="B31" s="1" t="s">
        <v>34</v>
      </c>
      <c r="C31" s="529"/>
      <c r="D31" s="23"/>
      <c r="E31" s="42"/>
      <c r="H31" s="527"/>
      <c r="I31" s="527"/>
      <c r="J31" s="527"/>
      <c r="K31" s="527"/>
    </row>
    <row r="32" spans="1:14" ht="21" customHeight="1" thickBot="1">
      <c r="A32" s="591"/>
      <c r="B32" s="592"/>
      <c r="C32" s="624" t="s">
        <v>655</v>
      </c>
      <c r="D32" s="624" t="s">
        <v>653</v>
      </c>
      <c r="E32" s="625" t="s">
        <v>654</v>
      </c>
      <c r="F32" s="620" t="str">
        <f>IF(AND(Bronze_D+Silver_D+Gold_D&gt;=1,pocetdeti=0),"Ak je označený balík, zadaj počet detí!",IF(AND(Bronze_D+Silver_D+Gold_D=0,pocetdeti&gt;0),"Zadaj poistné krytie pre deti!",IF(AND(pocetdeti&gt;=1,Bronze_D+Silver_D+Gold_D&gt;1),"Označ iba jeden balík!","")))</f>
        <v/>
      </c>
      <c r="G32" s="1164"/>
      <c r="H32" s="527"/>
      <c r="I32" s="527"/>
      <c r="J32" s="527"/>
      <c r="K32" s="527"/>
    </row>
    <row r="33" spans="1:32" ht="18.75" customHeight="1" thickBot="1">
      <c r="A33" s="593"/>
      <c r="B33" s="594"/>
      <c r="C33" s="595" t="s">
        <v>3</v>
      </c>
      <c r="D33" s="595" t="s">
        <v>3</v>
      </c>
      <c r="E33" s="596" t="s">
        <v>3</v>
      </c>
      <c r="F33" s="618"/>
      <c r="G33" s="618"/>
      <c r="H33" s="527"/>
      <c r="I33" s="527"/>
      <c r="J33" s="527"/>
      <c r="K33" s="527"/>
    </row>
    <row r="34" spans="1:32" ht="15" customHeight="1">
      <c r="A34" s="45"/>
      <c r="B34" s="8" t="s">
        <v>660</v>
      </c>
      <c r="C34" s="49">
        <v>3000</v>
      </c>
      <c r="D34" s="49">
        <v>5500</v>
      </c>
      <c r="E34" s="51">
        <v>8000</v>
      </c>
      <c r="F34" s="615"/>
      <c r="G34" s="615"/>
    </row>
    <row r="35" spans="1:32" ht="15" customHeight="1">
      <c r="A35" s="44"/>
      <c r="B35" s="1" t="s">
        <v>11</v>
      </c>
      <c r="C35" s="50">
        <v>500</v>
      </c>
      <c r="D35" s="50">
        <v>500</v>
      </c>
      <c r="E35" s="52">
        <v>500</v>
      </c>
      <c r="F35" s="621"/>
      <c r="G35" s="1165"/>
      <c r="H35" s="527"/>
      <c r="I35" s="527"/>
      <c r="J35" s="527"/>
      <c r="K35" s="527"/>
    </row>
    <row r="36" spans="1:32" ht="13.8">
      <c r="A36" s="2"/>
      <c r="B36" s="1" t="s">
        <v>607</v>
      </c>
      <c r="C36" s="50">
        <v>1000</v>
      </c>
      <c r="D36" s="50">
        <v>2000</v>
      </c>
      <c r="E36" s="52">
        <v>3000</v>
      </c>
      <c r="F36" s="615"/>
      <c r="G36" s="615"/>
    </row>
    <row r="37" spans="1:32" ht="23.25" customHeight="1" thickBot="1">
      <c r="A37" s="582"/>
      <c r="B37" s="569"/>
      <c r="C37" s="570" t="str">
        <f>CONCATENATE(IF(t=1,"Ročné ",IF(t=2,"Polročné ",IF(t=4,"Štvrťročné ",IF(t=12,"Mesačné ","?")))),"poistné za poistné krytie pre deti")</f>
        <v>Polročné poistné za poistné krytie pre deti</v>
      </c>
      <c r="D37" s="583">
        <f ca="1">IF(test1="O.K.",IF(AND(Bronze_D,NOT(Silver_D),NOT(Gold_D)),sadzba_1baldeti,IF(AND(NOT(Bronze_D),Silver_D,NOT(Gold_D)),sadzba_2baldeti,IF(AND(NOT(Bronze_D),NOT(Silver_D),Gold_D),sadzba_3baldeti,0)))/t*pocetdeti,"?")</f>
        <v>0</v>
      </c>
      <c r="E37" s="584"/>
      <c r="F37" s="590"/>
      <c r="G37" s="590"/>
    </row>
    <row r="38" spans="1:32" ht="10.5" customHeight="1" thickBot="1">
      <c r="A38" s="36"/>
      <c r="B38" s="37"/>
      <c r="C38" s="39"/>
      <c r="D38" s="40"/>
      <c r="E38" s="40"/>
      <c r="F38" s="615"/>
      <c r="G38" s="615"/>
    </row>
    <row r="39" spans="1:32" s="29" customFormat="1" ht="26.25" customHeight="1" thickBot="1">
      <c r="A39" s="585"/>
      <c r="B39" s="586"/>
      <c r="C39" s="587" t="str">
        <f>CONCATENATE("CELKOVÉ ",IF(t=1,"ROČNÉ ",IF(t=2,"POLROČNÉ ",IF(t=4,"ŠTVRŤROČNÉ ",IF(t=12,"MESAČNÉ ","?")))),"POISTNÉ")</f>
        <v>CELKOVÉ POLROČNÉ POISTNÉ</v>
      </c>
      <c r="D39" s="588">
        <f ca="1">IF(test1="O.K.",ROUND(D26+D37,2),"?")</f>
        <v>21.18</v>
      </c>
      <c r="E39" s="589"/>
      <c r="F39" s="618" t="str">
        <f ca="1">IF(AND(t=12,$D$39&lt;6),"Minimálne mesačné poistné je 6 EUR!",IF(AND(t=4,$D$39&lt;9),"Minimálne štvrťročné poistné je 9 EUR!",IF(AND(t=2,$D$39&lt;12),"Minimálne polročné poistné je 12 EUR!",IF(AND(t=1,$D$39&lt;15),"Minimálne ročné poistné je 15 EUR!",""))))</f>
        <v/>
      </c>
      <c r="G39" s="618"/>
      <c r="H39" s="528"/>
      <c r="I39" s="528"/>
      <c r="J39" s="528"/>
      <c r="K39" s="528"/>
      <c r="L39" s="28"/>
      <c r="M39" s="28"/>
      <c r="N39" s="28"/>
      <c r="O39" s="28"/>
      <c r="P39" s="28"/>
      <c r="Q39" s="28"/>
      <c r="R39" s="28"/>
      <c r="S39" s="28"/>
      <c r="T39" s="28"/>
      <c r="U39" s="28"/>
      <c r="V39" s="28"/>
      <c r="W39" s="28"/>
      <c r="X39" s="28"/>
      <c r="Y39" s="28"/>
      <c r="Z39" s="28"/>
      <c r="AA39" s="28"/>
      <c r="AB39" s="28"/>
      <c r="AC39" s="28"/>
      <c r="AD39" s="28"/>
      <c r="AE39" s="28"/>
      <c r="AF39" s="28"/>
    </row>
    <row r="40" spans="1:32" ht="15" customHeight="1" thickBot="1">
      <c r="F40" s="622" t="str">
        <f ca="1">IF(AND($D$39&lt;12,$C$9="poštovou poukážkou"),"Minimálne poistné pri platbe poštovou poukážkou je 12 EUR!","")</f>
        <v/>
      </c>
      <c r="G40" s="622"/>
    </row>
    <row r="41" spans="1:32" ht="27.75" customHeight="1" thickBot="1">
      <c r="A41" s="238"/>
      <c r="B41" s="239"/>
      <c r="C41" s="240" t="s">
        <v>661</v>
      </c>
      <c r="D41" s="241"/>
      <c r="E41" s="242"/>
      <c r="F41" s="5"/>
      <c r="G41" s="5"/>
    </row>
    <row r="42" spans="1:32" ht="15" customHeight="1">
      <c r="A42" s="46"/>
      <c r="B42" s="8"/>
      <c r="C42" s="604" t="s">
        <v>960</v>
      </c>
      <c r="D42" s="230"/>
      <c r="E42" s="47"/>
      <c r="F42" s="623"/>
      <c r="G42" s="623"/>
    </row>
    <row r="43" spans="1:32" ht="15" customHeight="1">
      <c r="A43" s="231" t="s">
        <v>662</v>
      </c>
      <c r="B43" s="232"/>
      <c r="C43" s="233"/>
      <c r="D43" s="234"/>
      <c r="E43" s="235"/>
      <c r="F43" s="623"/>
      <c r="G43" s="623"/>
    </row>
    <row r="44" spans="1:32" ht="15" customHeight="1" thickBot="1">
      <c r="A44" s="236" t="s">
        <v>663</v>
      </c>
      <c r="B44" s="237"/>
      <c r="C44" s="23"/>
      <c r="D44" s="23"/>
      <c r="E44" s="3"/>
      <c r="F44" s="623"/>
      <c r="G44" s="623"/>
    </row>
    <row r="45" spans="1:32" ht="15" customHeight="1">
      <c r="A45" s="605"/>
      <c r="B45" s="606"/>
      <c r="C45" s="607" t="str">
        <f>CONCATENATE("Výška zľavy na ",IF(t=1,"ročnom ",IF(t=2,"polročnom ",IF(t=4,"štvrťročnom ",IF(t=12,"mesačnom ","?")))),"poistnom")</f>
        <v>Výška zľavy na polročnom poistnom</v>
      </c>
      <c r="D45" s="608">
        <f ca="1">IF(D39="?","?",IF(AND(C42="a",D39&gt;0),ROUND(D39*0.1,2),0))</f>
        <v>2.12</v>
      </c>
      <c r="E45" s="609"/>
      <c r="F45" s="623"/>
      <c r="G45" s="623"/>
    </row>
    <row r="46" spans="1:32" ht="15" customHeight="1" thickBot="1">
      <c r="A46" s="610"/>
      <c r="B46" s="611"/>
      <c r="C46" s="612" t="str">
        <f>CONCATENATE("Celkové ",IF(t=1,"ročné ",IF(t=2,"polročné ",IF(t=4,"štvrťročné ",IF(t=12,"mesačné ","?")))),"poistné po zľave")</f>
        <v>Celkové polročné poistné po zľave</v>
      </c>
      <c r="D46" s="613">
        <f ca="1">IF(D39="?","?",IF(C42="a",D39-D45,0))</f>
        <v>19.059999999999999</v>
      </c>
      <c r="E46" s="1031">
        <f ca="1">IF(D39="?","?",IF(C42="a",D46*30.126,0))</f>
        <v>574.20155999999997</v>
      </c>
      <c r="F46" s="623"/>
      <c r="G46" s="623"/>
    </row>
    <row r="47" spans="1:32" s="1211" customFormat="1" ht="15" customHeight="1">
      <c r="A47" s="1210"/>
      <c r="B47" s="1210"/>
      <c r="F47" s="1212"/>
      <c r="G47" s="1212"/>
      <c r="H47" s="1212"/>
      <c r="I47" s="1212"/>
      <c r="J47" s="1212"/>
      <c r="K47" s="1212"/>
      <c r="L47" s="1213"/>
      <c r="M47" s="1213"/>
      <c r="N47" s="1213"/>
      <c r="O47" s="1213"/>
      <c r="P47" s="1213"/>
      <c r="Q47" s="1213"/>
      <c r="R47" s="1213"/>
      <c r="S47" s="1213"/>
      <c r="T47" s="1213"/>
      <c r="U47" s="1213"/>
      <c r="V47" s="1213"/>
      <c r="W47" s="1213"/>
      <c r="X47" s="1213"/>
      <c r="Y47" s="1213"/>
      <c r="Z47" s="1213"/>
      <c r="AA47" s="1213"/>
      <c r="AB47" s="1213"/>
      <c r="AC47" s="1213"/>
      <c r="AD47" s="1213"/>
      <c r="AE47" s="1213"/>
      <c r="AF47" s="1213"/>
    </row>
    <row r="48" spans="1:32" s="1211" customFormat="1" ht="17.25" customHeight="1">
      <c r="A48" s="1210"/>
      <c r="B48" s="1210"/>
      <c r="F48" s="1212"/>
      <c r="G48" s="1212"/>
      <c r="H48" s="1212"/>
      <c r="I48" s="1212"/>
      <c r="J48" s="1212"/>
      <c r="K48" s="1212"/>
      <c r="L48" s="1213"/>
      <c r="M48" s="1213"/>
      <c r="N48" s="1213"/>
      <c r="O48" s="1213"/>
      <c r="P48" s="1213"/>
      <c r="Q48" s="1213"/>
      <c r="R48" s="1213"/>
      <c r="S48" s="1213"/>
      <c r="T48" s="1213"/>
      <c r="U48" s="1213"/>
      <c r="V48" s="1213"/>
      <c r="W48" s="1213"/>
      <c r="X48" s="1213"/>
      <c r="Y48" s="1213"/>
      <c r="Z48" s="1213"/>
      <c r="AA48" s="1213"/>
      <c r="AB48" s="1213"/>
      <c r="AC48" s="1213"/>
      <c r="AD48" s="1213"/>
      <c r="AE48" s="1213"/>
      <c r="AF48" s="1213"/>
    </row>
    <row r="49" spans="1:33" s="1211" customFormat="1">
      <c r="A49" s="1210"/>
      <c r="B49" s="1210"/>
      <c r="F49" s="1212"/>
      <c r="G49" s="1212"/>
      <c r="H49" s="1212"/>
      <c r="I49" s="1212"/>
      <c r="J49" s="1212"/>
      <c r="K49" s="1212"/>
      <c r="L49" s="1213"/>
      <c r="M49" s="1213"/>
      <c r="N49" s="1213"/>
      <c r="O49" s="1213"/>
      <c r="P49" s="1213"/>
      <c r="Q49" s="1213"/>
      <c r="R49" s="1213"/>
      <c r="S49" s="1213"/>
      <c r="T49" s="1213"/>
      <c r="U49" s="1213"/>
      <c r="V49" s="1213"/>
      <c r="W49" s="1213"/>
      <c r="X49" s="1213"/>
      <c r="Y49" s="1213"/>
      <c r="Z49" s="1213"/>
      <c r="AA49" s="1213"/>
      <c r="AB49" s="1213"/>
      <c r="AC49" s="1213"/>
      <c r="AD49" s="1213"/>
      <c r="AE49" s="1213"/>
      <c r="AF49" s="1213"/>
    </row>
    <row r="50" spans="1:33" s="1211" customFormat="1" hidden="1">
      <c r="A50" s="1214" t="s">
        <v>615</v>
      </c>
      <c r="B50" s="1214" t="b">
        <v>1</v>
      </c>
      <c r="F50" s="1212"/>
      <c r="G50" s="1212"/>
      <c r="H50" s="1212"/>
      <c r="I50" s="1212"/>
      <c r="J50" s="1212"/>
      <c r="K50" s="1212"/>
      <c r="L50" s="1213"/>
      <c r="M50" s="1213"/>
      <c r="N50" s="1213"/>
      <c r="O50" s="1213"/>
      <c r="P50" s="1213"/>
      <c r="Q50" s="1213"/>
      <c r="R50" s="1213"/>
      <c r="S50" s="1213"/>
      <c r="T50" s="1213"/>
      <c r="U50" s="1213"/>
      <c r="V50" s="1213"/>
      <c r="W50" s="1213"/>
      <c r="X50" s="1213"/>
      <c r="Y50" s="1213"/>
      <c r="Z50" s="1213"/>
      <c r="AA50" s="1213"/>
      <c r="AB50" s="1213"/>
      <c r="AC50" s="1213"/>
      <c r="AD50" s="1213"/>
      <c r="AE50" s="1213"/>
      <c r="AF50" s="1213"/>
    </row>
    <row r="51" spans="1:33" s="1211" customFormat="1" hidden="1">
      <c r="A51" s="1214" t="s">
        <v>36</v>
      </c>
      <c r="B51" s="1214" t="b">
        <v>0</v>
      </c>
      <c r="F51" s="1212"/>
      <c r="G51" s="1212"/>
      <c r="H51" s="1212"/>
      <c r="I51" s="1212"/>
      <c r="J51" s="1212"/>
      <c r="K51" s="1212"/>
      <c r="L51" s="1213"/>
      <c r="M51" s="1213"/>
      <c r="N51" s="1213"/>
      <c r="O51" s="1213"/>
      <c r="P51" s="1213"/>
      <c r="Q51" s="1213"/>
      <c r="R51" s="1213"/>
      <c r="S51" s="1213"/>
      <c r="T51" s="1213"/>
      <c r="U51" s="1213"/>
      <c r="V51" s="1213"/>
      <c r="W51" s="1213"/>
      <c r="X51" s="1213"/>
      <c r="Y51" s="1213"/>
      <c r="Z51" s="1213"/>
      <c r="AA51" s="1213"/>
      <c r="AB51" s="1213"/>
      <c r="AC51" s="1213"/>
      <c r="AD51" s="1213"/>
      <c r="AE51" s="1213"/>
      <c r="AF51" s="1213"/>
    </row>
    <row r="52" spans="1:33" s="1211" customFormat="1" hidden="1">
      <c r="A52" s="1214" t="s">
        <v>32</v>
      </c>
      <c r="B52" s="1214" t="b">
        <v>0</v>
      </c>
      <c r="F52" s="1212"/>
      <c r="G52" s="1212"/>
      <c r="H52" s="1212"/>
      <c r="I52" s="1212"/>
      <c r="J52" s="1212"/>
      <c r="K52" s="1212"/>
      <c r="L52" s="1213"/>
      <c r="M52" s="1213"/>
      <c r="N52" s="1213"/>
      <c r="O52" s="1213"/>
      <c r="P52" s="1213"/>
      <c r="Q52" s="1213"/>
      <c r="R52" s="1213"/>
      <c r="S52" s="1213"/>
      <c r="T52" s="1213"/>
      <c r="U52" s="1213"/>
      <c r="V52" s="1213"/>
      <c r="W52" s="1213"/>
      <c r="X52" s="1213"/>
      <c r="Y52" s="1213"/>
      <c r="Z52" s="1213"/>
      <c r="AA52" s="1213"/>
      <c r="AB52" s="1213"/>
      <c r="AC52" s="1213"/>
      <c r="AD52" s="1213"/>
      <c r="AE52" s="1213"/>
      <c r="AF52" s="1213"/>
    </row>
    <row r="53" spans="1:33" s="1211" customFormat="1" hidden="1">
      <c r="A53" s="1214" t="s">
        <v>33</v>
      </c>
      <c r="B53" s="1214" t="b">
        <v>0</v>
      </c>
      <c r="F53" s="1212"/>
      <c r="G53" s="1212"/>
      <c r="H53" s="1212"/>
      <c r="I53" s="1212"/>
      <c r="J53" s="1212"/>
      <c r="K53" s="1212"/>
      <c r="L53" s="1213"/>
      <c r="M53" s="1213"/>
      <c r="N53" s="1213"/>
      <c r="O53" s="1213"/>
      <c r="P53" s="1213"/>
      <c r="Q53" s="1213"/>
      <c r="R53" s="1213"/>
      <c r="S53" s="1213"/>
      <c r="T53" s="1213"/>
      <c r="U53" s="1213"/>
      <c r="V53" s="1213"/>
      <c r="W53" s="1213"/>
      <c r="X53" s="1213"/>
      <c r="Y53" s="1213"/>
      <c r="Z53" s="1213"/>
      <c r="AA53" s="1213"/>
      <c r="AB53" s="1213"/>
      <c r="AC53" s="1213"/>
      <c r="AD53" s="1213"/>
      <c r="AE53" s="1213"/>
      <c r="AF53" s="1213"/>
    </row>
    <row r="54" spans="1:33" s="1211" customFormat="1" hidden="1">
      <c r="A54" s="1210"/>
      <c r="B54" s="1210"/>
      <c r="F54" s="1212"/>
      <c r="G54" s="1212"/>
      <c r="H54" s="1212"/>
      <c r="I54" s="1212"/>
      <c r="J54" s="1212"/>
      <c r="K54" s="1212"/>
      <c r="L54" s="1213"/>
      <c r="M54" s="1213"/>
      <c r="N54" s="1213"/>
      <c r="O54" s="1213"/>
      <c r="P54" s="1213"/>
      <c r="Q54" s="1213"/>
      <c r="R54" s="1213"/>
      <c r="S54" s="1213"/>
      <c r="T54" s="1213"/>
      <c r="U54" s="1213"/>
      <c r="V54" s="1213"/>
      <c r="W54" s="1213"/>
      <c r="X54" s="1213"/>
      <c r="Y54" s="1213"/>
      <c r="Z54" s="1213"/>
      <c r="AA54" s="1213"/>
      <c r="AB54" s="1213"/>
      <c r="AC54" s="1213"/>
      <c r="AD54" s="1213"/>
      <c r="AE54" s="1213"/>
      <c r="AF54" s="1213"/>
    </row>
    <row r="55" spans="1:33" s="1211" customFormat="1" hidden="1">
      <c r="A55" s="1215" t="s">
        <v>31</v>
      </c>
      <c r="B55" s="1216"/>
      <c r="C55" s="1216"/>
      <c r="D55" s="1216"/>
      <c r="E55" s="1216"/>
      <c r="F55" s="1217"/>
      <c r="G55" s="1218"/>
      <c r="H55" s="1217"/>
      <c r="I55" s="1218"/>
      <c r="J55" s="1218"/>
      <c r="K55" s="1218"/>
      <c r="L55" s="1219"/>
      <c r="M55" s="1213"/>
      <c r="N55" s="1213"/>
      <c r="O55" s="1213"/>
      <c r="P55" s="1213"/>
      <c r="Q55" s="1213"/>
      <c r="R55" s="1213"/>
      <c r="S55" s="1213"/>
      <c r="T55" s="1213"/>
      <c r="U55" s="1213"/>
      <c r="V55" s="1213"/>
      <c r="W55" s="1213"/>
      <c r="X55" s="1213"/>
      <c r="Y55" s="1213"/>
      <c r="Z55" s="1213"/>
      <c r="AA55" s="1213"/>
      <c r="AB55" s="1213"/>
      <c r="AC55" s="1213"/>
      <c r="AD55" s="1213"/>
      <c r="AE55" s="1213"/>
      <c r="AF55" s="1213"/>
      <c r="AG55" s="1213"/>
    </row>
    <row r="56" spans="1:33" s="1211" customFormat="1" hidden="1">
      <c r="A56" s="1220" t="s">
        <v>19</v>
      </c>
      <c r="B56" s="1221" t="s">
        <v>608</v>
      </c>
      <c r="C56" s="1221" t="s">
        <v>609</v>
      </c>
      <c r="D56" s="1221" t="s">
        <v>5</v>
      </c>
      <c r="E56" s="1222" t="s">
        <v>4</v>
      </c>
      <c r="F56" s="1223" t="s">
        <v>20</v>
      </c>
      <c r="G56" s="1223"/>
      <c r="H56" s="1224" t="s">
        <v>21</v>
      </c>
      <c r="I56" s="1224"/>
      <c r="J56" s="1224"/>
      <c r="K56" s="1224"/>
      <c r="L56" s="1225" t="s">
        <v>610</v>
      </c>
      <c r="M56" s="1213"/>
      <c r="N56" s="1213"/>
      <c r="O56" s="1213"/>
      <c r="P56" s="1213"/>
      <c r="Q56" s="1213"/>
      <c r="R56" s="1213"/>
      <c r="S56" s="1213"/>
      <c r="T56" s="1213"/>
      <c r="U56" s="1213"/>
      <c r="V56" s="1213"/>
      <c r="W56" s="1213"/>
      <c r="X56" s="1213"/>
      <c r="Y56" s="1213"/>
      <c r="Z56" s="1213"/>
      <c r="AA56" s="1213"/>
      <c r="AB56" s="1213"/>
      <c r="AC56" s="1213"/>
      <c r="AD56" s="1213"/>
      <c r="AE56" s="1213"/>
      <c r="AF56" s="1213"/>
      <c r="AG56" s="1213"/>
    </row>
    <row r="57" spans="1:33" s="1234" customFormat="1" hidden="1">
      <c r="A57" s="1226">
        <v>0</v>
      </c>
      <c r="B57" s="1227">
        <v>0</v>
      </c>
      <c r="C57" s="1227">
        <v>0</v>
      </c>
      <c r="D57" s="1228">
        <v>0</v>
      </c>
      <c r="E57" s="1229">
        <v>0</v>
      </c>
      <c r="F57" s="1230">
        <v>0</v>
      </c>
      <c r="G57" s="1231"/>
      <c r="H57" s="1230">
        <v>0</v>
      </c>
      <c r="I57" s="1231"/>
      <c r="J57" s="1231"/>
      <c r="K57" s="1231"/>
      <c r="L57" s="1232">
        <v>0</v>
      </c>
      <c r="M57" s="1233"/>
      <c r="N57" s="1233"/>
      <c r="O57" s="1233"/>
      <c r="P57" s="1233"/>
      <c r="Q57" s="1233"/>
      <c r="R57" s="1233"/>
      <c r="S57" s="1233"/>
      <c r="T57" s="1233"/>
      <c r="U57" s="1233"/>
      <c r="V57" s="1233"/>
      <c r="W57" s="1233"/>
      <c r="X57" s="1233"/>
      <c r="Y57" s="1233"/>
      <c r="Z57" s="1233"/>
      <c r="AA57" s="1233"/>
      <c r="AB57" s="1233"/>
      <c r="AC57" s="1233"/>
      <c r="AD57" s="1233"/>
      <c r="AE57" s="1233"/>
      <c r="AF57" s="1233"/>
      <c r="AG57" s="1233"/>
    </row>
    <row r="58" spans="1:33" s="1234" customFormat="1" hidden="1">
      <c r="A58" s="1235">
        <v>3000</v>
      </c>
      <c r="B58" s="1236">
        <v>3000</v>
      </c>
      <c r="C58" s="1236">
        <v>3000</v>
      </c>
      <c r="D58" s="1236">
        <v>3</v>
      </c>
      <c r="E58" s="1237">
        <v>500</v>
      </c>
      <c r="F58" s="1238">
        <v>3</v>
      </c>
      <c r="G58" s="1238"/>
      <c r="H58" s="1239">
        <v>16000</v>
      </c>
      <c r="I58" s="1239"/>
      <c r="J58" s="1239"/>
      <c r="K58" s="1239"/>
      <c r="L58" s="1240">
        <v>160</v>
      </c>
      <c r="M58" s="1233"/>
      <c r="N58" s="1233"/>
      <c r="O58" s="1233"/>
      <c r="P58" s="1233"/>
      <c r="Q58" s="1233"/>
      <c r="R58" s="1233"/>
      <c r="S58" s="1233"/>
      <c r="T58" s="1233"/>
      <c r="U58" s="1233"/>
      <c r="V58" s="1233"/>
      <c r="W58" s="1233"/>
      <c r="X58" s="1233"/>
      <c r="Y58" s="1233"/>
      <c r="Z58" s="1233"/>
      <c r="AA58" s="1233"/>
      <c r="AB58" s="1233"/>
      <c r="AC58" s="1233"/>
      <c r="AD58" s="1233"/>
      <c r="AE58" s="1233"/>
      <c r="AF58" s="1233"/>
      <c r="AG58" s="1233"/>
    </row>
    <row r="59" spans="1:33" s="1234" customFormat="1" hidden="1">
      <c r="A59" s="1235">
        <v>5000</v>
      </c>
      <c r="B59" s="1236">
        <f t="shared" ref="B59:B74" si="0">B58+2000</f>
        <v>5000</v>
      </c>
      <c r="C59" s="1236">
        <f t="shared" ref="C59:C74" si="1">C58+2000</f>
        <v>5000</v>
      </c>
      <c r="D59" s="1236">
        <v>4</v>
      </c>
      <c r="E59" s="1237">
        <v>1000</v>
      </c>
      <c r="F59" s="1238">
        <v>4</v>
      </c>
      <c r="G59" s="1238"/>
      <c r="H59" s="1239">
        <v>17000</v>
      </c>
      <c r="I59" s="1239"/>
      <c r="J59" s="1239"/>
      <c r="K59" s="1239"/>
      <c r="L59" s="1240">
        <v>170</v>
      </c>
      <c r="M59" s="1233"/>
      <c r="N59" s="1233"/>
      <c r="O59" s="1233"/>
      <c r="P59" s="1233"/>
      <c r="Q59" s="1233"/>
      <c r="R59" s="1233"/>
      <c r="S59" s="1233"/>
      <c r="T59" s="1233"/>
      <c r="U59" s="1233"/>
      <c r="V59" s="1233"/>
      <c r="W59" s="1233"/>
      <c r="X59" s="1233"/>
      <c r="Y59" s="1233"/>
      <c r="Z59" s="1233"/>
      <c r="AA59" s="1233"/>
      <c r="AB59" s="1233"/>
      <c r="AC59" s="1233"/>
      <c r="AD59" s="1233"/>
      <c r="AE59" s="1233"/>
      <c r="AF59" s="1233"/>
      <c r="AG59" s="1233"/>
    </row>
    <row r="60" spans="1:33" s="1234" customFormat="1" hidden="1">
      <c r="A60" s="1235">
        <v>7000</v>
      </c>
      <c r="B60" s="1236">
        <f t="shared" si="0"/>
        <v>7000</v>
      </c>
      <c r="C60" s="1236">
        <f t="shared" si="1"/>
        <v>7000</v>
      </c>
      <c r="D60" s="1236">
        <v>5</v>
      </c>
      <c r="E60" s="1237">
        <v>1500</v>
      </c>
      <c r="F60" s="1238">
        <v>5</v>
      </c>
      <c r="G60" s="1238"/>
      <c r="H60" s="1239">
        <v>18000</v>
      </c>
      <c r="I60" s="1239"/>
      <c r="J60" s="1239"/>
      <c r="K60" s="1239"/>
      <c r="L60" s="1240">
        <v>180</v>
      </c>
      <c r="M60" s="1233"/>
      <c r="N60" s="1233"/>
      <c r="O60" s="1233"/>
      <c r="P60" s="1233"/>
      <c r="Q60" s="1233"/>
      <c r="R60" s="1233"/>
      <c r="S60" s="1233"/>
      <c r="T60" s="1233"/>
      <c r="U60" s="1233"/>
      <c r="V60" s="1233"/>
      <c r="W60" s="1233"/>
      <c r="X60" s="1233"/>
      <c r="Y60" s="1233"/>
      <c r="Z60" s="1233"/>
      <c r="AA60" s="1233"/>
      <c r="AB60" s="1233"/>
      <c r="AC60" s="1233"/>
      <c r="AD60" s="1233"/>
      <c r="AE60" s="1233"/>
      <c r="AF60" s="1233"/>
      <c r="AG60" s="1233"/>
    </row>
    <row r="61" spans="1:33" s="1234" customFormat="1" hidden="1">
      <c r="A61" s="1235">
        <v>9000</v>
      </c>
      <c r="B61" s="1236">
        <f t="shared" si="0"/>
        <v>9000</v>
      </c>
      <c r="C61" s="1236">
        <f t="shared" si="1"/>
        <v>9000</v>
      </c>
      <c r="D61" s="1236">
        <v>6</v>
      </c>
      <c r="E61" s="1237">
        <v>2000</v>
      </c>
      <c r="F61" s="1238">
        <v>6</v>
      </c>
      <c r="G61" s="1238"/>
      <c r="H61" s="1239">
        <v>19000</v>
      </c>
      <c r="I61" s="1239"/>
      <c r="J61" s="1239"/>
      <c r="K61" s="1239"/>
      <c r="L61" s="1240">
        <v>190</v>
      </c>
      <c r="M61" s="1233"/>
      <c r="N61" s="1233"/>
      <c r="O61" s="1233"/>
      <c r="P61" s="1233"/>
      <c r="Q61" s="1233"/>
      <c r="R61" s="1233"/>
      <c r="S61" s="1233"/>
      <c r="T61" s="1233"/>
      <c r="U61" s="1233"/>
      <c r="V61" s="1233"/>
      <c r="W61" s="1233"/>
      <c r="X61" s="1233"/>
      <c r="Y61" s="1233"/>
      <c r="Z61" s="1233"/>
      <c r="AA61" s="1233"/>
      <c r="AB61" s="1233"/>
      <c r="AC61" s="1233"/>
      <c r="AD61" s="1233"/>
      <c r="AE61" s="1233"/>
      <c r="AF61" s="1233"/>
      <c r="AG61" s="1233"/>
    </row>
    <row r="62" spans="1:33" s="1234" customFormat="1" hidden="1">
      <c r="A62" s="1235">
        <v>11000</v>
      </c>
      <c r="B62" s="1236">
        <f t="shared" si="0"/>
        <v>11000</v>
      </c>
      <c r="C62" s="1236">
        <f t="shared" si="1"/>
        <v>11000</v>
      </c>
      <c r="D62" s="1236">
        <v>7</v>
      </c>
      <c r="E62" s="1237">
        <v>2500</v>
      </c>
      <c r="F62" s="1238">
        <v>7</v>
      </c>
      <c r="G62" s="1238"/>
      <c r="H62" s="1239">
        <v>20000</v>
      </c>
      <c r="I62" s="1239"/>
      <c r="J62" s="1239"/>
      <c r="K62" s="1239"/>
      <c r="L62" s="1240">
        <v>200</v>
      </c>
      <c r="M62" s="1233"/>
      <c r="N62" s="1233"/>
      <c r="O62" s="1233"/>
      <c r="P62" s="1233"/>
      <c r="Q62" s="1233"/>
      <c r="R62" s="1233"/>
      <c r="S62" s="1233"/>
      <c r="T62" s="1233"/>
      <c r="U62" s="1233"/>
      <c r="V62" s="1233"/>
      <c r="W62" s="1233"/>
      <c r="X62" s="1233"/>
      <c r="Y62" s="1233"/>
      <c r="Z62" s="1233"/>
      <c r="AA62" s="1233"/>
      <c r="AB62" s="1233"/>
      <c r="AC62" s="1233"/>
      <c r="AD62" s="1233"/>
      <c r="AE62" s="1233"/>
      <c r="AF62" s="1233"/>
      <c r="AG62" s="1233"/>
    </row>
    <row r="63" spans="1:33" s="1234" customFormat="1" hidden="1">
      <c r="A63" s="1235">
        <v>13000</v>
      </c>
      <c r="B63" s="1236">
        <f t="shared" si="0"/>
        <v>13000</v>
      </c>
      <c r="C63" s="1236">
        <f t="shared" si="1"/>
        <v>13000</v>
      </c>
      <c r="D63" s="1236">
        <v>8</v>
      </c>
      <c r="E63" s="1237">
        <v>3000</v>
      </c>
      <c r="F63" s="1238">
        <v>8</v>
      </c>
      <c r="G63" s="1238"/>
      <c r="H63" s="1239">
        <v>21000</v>
      </c>
      <c r="I63" s="1239"/>
      <c r="J63" s="1239"/>
      <c r="K63" s="1239"/>
      <c r="L63" s="1240">
        <v>210</v>
      </c>
      <c r="M63" s="1233"/>
      <c r="N63" s="1233"/>
      <c r="O63" s="1233"/>
      <c r="P63" s="1233"/>
      <c r="Q63" s="1233"/>
      <c r="R63" s="1233"/>
      <c r="S63" s="1233"/>
      <c r="T63" s="1233"/>
      <c r="U63" s="1233"/>
      <c r="V63" s="1233"/>
      <c r="W63" s="1233"/>
      <c r="X63" s="1233"/>
      <c r="Y63" s="1233"/>
      <c r="Z63" s="1233"/>
      <c r="AA63" s="1233"/>
      <c r="AB63" s="1233"/>
      <c r="AC63" s="1233"/>
      <c r="AD63" s="1233"/>
      <c r="AE63" s="1233"/>
      <c r="AF63" s="1233"/>
      <c r="AG63" s="1233"/>
    </row>
    <row r="64" spans="1:33" s="1234" customFormat="1" hidden="1">
      <c r="A64" s="1235">
        <v>15000</v>
      </c>
      <c r="B64" s="1236">
        <f t="shared" si="0"/>
        <v>15000</v>
      </c>
      <c r="C64" s="1236">
        <f t="shared" si="1"/>
        <v>15000</v>
      </c>
      <c r="D64" s="1236">
        <v>9</v>
      </c>
      <c r="E64" s="1237">
        <v>3500</v>
      </c>
      <c r="F64" s="1238">
        <v>9</v>
      </c>
      <c r="G64" s="1238"/>
      <c r="H64" s="1239">
        <v>22000</v>
      </c>
      <c r="I64" s="1239"/>
      <c r="J64" s="1239"/>
      <c r="K64" s="1239"/>
      <c r="L64" s="1240">
        <v>220</v>
      </c>
      <c r="M64" s="1233"/>
      <c r="N64" s="1233"/>
      <c r="O64" s="1233"/>
      <c r="P64" s="1233"/>
      <c r="Q64" s="1233"/>
      <c r="R64" s="1233"/>
      <c r="S64" s="1233"/>
      <c r="T64" s="1233"/>
      <c r="U64" s="1233"/>
      <c r="V64" s="1233"/>
      <c r="W64" s="1233"/>
      <c r="X64" s="1233"/>
      <c r="Y64" s="1233"/>
      <c r="Z64" s="1233"/>
      <c r="AA64" s="1233"/>
      <c r="AB64" s="1233"/>
      <c r="AC64" s="1233"/>
      <c r="AD64" s="1233"/>
      <c r="AE64" s="1233"/>
      <c r="AF64" s="1233"/>
      <c r="AG64" s="1233"/>
    </row>
    <row r="65" spans="1:33" s="1234" customFormat="1" hidden="1">
      <c r="A65" s="1235">
        <v>17000</v>
      </c>
      <c r="B65" s="1236">
        <f t="shared" si="0"/>
        <v>17000</v>
      </c>
      <c r="C65" s="1236">
        <f t="shared" si="1"/>
        <v>17000</v>
      </c>
      <c r="D65" s="1236">
        <v>10</v>
      </c>
      <c r="E65" s="1236"/>
      <c r="F65" s="1238">
        <v>10</v>
      </c>
      <c r="G65" s="1238"/>
      <c r="H65" s="1239">
        <v>23000</v>
      </c>
      <c r="I65" s="1239"/>
      <c r="J65" s="1239"/>
      <c r="K65" s="1239"/>
      <c r="L65" s="1240">
        <v>230</v>
      </c>
      <c r="M65" s="1233"/>
      <c r="N65" s="1233"/>
      <c r="O65" s="1233"/>
      <c r="P65" s="1233"/>
      <c r="Q65" s="1233"/>
      <c r="R65" s="1233"/>
      <c r="S65" s="1233"/>
      <c r="T65" s="1233"/>
      <c r="U65" s="1233"/>
      <c r="V65" s="1233"/>
      <c r="W65" s="1233"/>
      <c r="X65" s="1233"/>
      <c r="Y65" s="1233"/>
      <c r="Z65" s="1233"/>
      <c r="AA65" s="1233"/>
      <c r="AB65" s="1233"/>
      <c r="AC65" s="1233"/>
      <c r="AD65" s="1233"/>
      <c r="AE65" s="1233"/>
      <c r="AF65" s="1233"/>
      <c r="AG65" s="1233"/>
    </row>
    <row r="66" spans="1:33" s="1234" customFormat="1" hidden="1">
      <c r="A66" s="1235">
        <v>19000</v>
      </c>
      <c r="B66" s="1236">
        <f t="shared" si="0"/>
        <v>19000</v>
      </c>
      <c r="C66" s="1236">
        <f t="shared" si="1"/>
        <v>19000</v>
      </c>
      <c r="D66" s="1236">
        <v>11</v>
      </c>
      <c r="E66" s="1236"/>
      <c r="F66" s="1238">
        <v>11</v>
      </c>
      <c r="G66" s="1238"/>
      <c r="H66" s="1239">
        <v>24000</v>
      </c>
      <c r="I66" s="1239"/>
      <c r="J66" s="1239"/>
      <c r="K66" s="1239"/>
      <c r="L66" s="1240">
        <v>240</v>
      </c>
      <c r="M66" s="1233"/>
      <c r="N66" s="1233"/>
      <c r="O66" s="1233"/>
      <c r="P66" s="1233"/>
      <c r="Q66" s="1233"/>
      <c r="R66" s="1233"/>
      <c r="S66" s="1233"/>
      <c r="T66" s="1233"/>
      <c r="U66" s="1233"/>
      <c r="V66" s="1233"/>
      <c r="W66" s="1233"/>
      <c r="X66" s="1233"/>
      <c r="Y66" s="1233"/>
      <c r="Z66" s="1233"/>
      <c r="AA66" s="1233"/>
      <c r="AB66" s="1233"/>
      <c r="AC66" s="1233"/>
      <c r="AD66" s="1233"/>
      <c r="AE66" s="1233"/>
      <c r="AF66" s="1233"/>
      <c r="AG66" s="1233"/>
    </row>
    <row r="67" spans="1:33" s="1234" customFormat="1" hidden="1">
      <c r="A67" s="1235">
        <v>21000</v>
      </c>
      <c r="B67" s="1236">
        <f t="shared" si="0"/>
        <v>21000</v>
      </c>
      <c r="C67" s="1236">
        <f t="shared" si="1"/>
        <v>21000</v>
      </c>
      <c r="D67" s="1236">
        <v>12</v>
      </c>
      <c r="E67" s="1236"/>
      <c r="F67" s="1238">
        <v>12</v>
      </c>
      <c r="G67" s="1238"/>
      <c r="H67" s="1239">
        <v>25000</v>
      </c>
      <c r="I67" s="1239"/>
      <c r="J67" s="1239"/>
      <c r="K67" s="1239"/>
      <c r="L67" s="1240">
        <v>250</v>
      </c>
      <c r="M67" s="1233"/>
      <c r="N67" s="1233"/>
      <c r="O67" s="1233"/>
      <c r="P67" s="1233"/>
      <c r="Q67" s="1233"/>
      <c r="R67" s="1233"/>
      <c r="S67" s="1233"/>
      <c r="T67" s="1233"/>
      <c r="U67" s="1233"/>
      <c r="V67" s="1233"/>
      <c r="W67" s="1233"/>
      <c r="X67" s="1233"/>
      <c r="Y67" s="1233"/>
      <c r="Z67" s="1233"/>
      <c r="AA67" s="1233"/>
      <c r="AB67" s="1233"/>
      <c r="AC67" s="1233"/>
      <c r="AD67" s="1233"/>
      <c r="AE67" s="1233"/>
      <c r="AF67" s="1233"/>
      <c r="AG67" s="1233"/>
    </row>
    <row r="68" spans="1:33" s="1234" customFormat="1" hidden="1">
      <c r="A68" s="1235">
        <v>23000</v>
      </c>
      <c r="B68" s="1236">
        <f t="shared" si="0"/>
        <v>23000</v>
      </c>
      <c r="C68" s="1236">
        <f t="shared" si="1"/>
        <v>23000</v>
      </c>
      <c r="D68" s="1236">
        <v>13</v>
      </c>
      <c r="E68" s="1236"/>
      <c r="F68" s="1238">
        <v>13</v>
      </c>
      <c r="G68" s="1238"/>
      <c r="H68" s="1239">
        <v>26000</v>
      </c>
      <c r="I68" s="1239"/>
      <c r="J68" s="1239"/>
      <c r="K68" s="1239"/>
      <c r="L68" s="1240">
        <v>260</v>
      </c>
      <c r="M68" s="1233"/>
      <c r="N68" s="1233"/>
      <c r="O68" s="1233"/>
      <c r="P68" s="1233"/>
      <c r="Q68" s="1233"/>
      <c r="R68" s="1233"/>
      <c r="S68" s="1233"/>
      <c r="T68" s="1233"/>
      <c r="U68" s="1233"/>
      <c r="V68" s="1233"/>
      <c r="W68" s="1233"/>
      <c r="X68" s="1233"/>
      <c r="Y68" s="1233"/>
      <c r="Z68" s="1233"/>
      <c r="AA68" s="1233"/>
      <c r="AB68" s="1233"/>
      <c r="AC68" s="1233"/>
      <c r="AD68" s="1233"/>
      <c r="AE68" s="1233"/>
      <c r="AF68" s="1233"/>
      <c r="AG68" s="1233"/>
    </row>
    <row r="69" spans="1:33" s="1234" customFormat="1" hidden="1">
      <c r="A69" s="1235">
        <v>25000</v>
      </c>
      <c r="B69" s="1236">
        <f t="shared" si="0"/>
        <v>25000</v>
      </c>
      <c r="C69" s="1236">
        <f t="shared" si="1"/>
        <v>25000</v>
      </c>
      <c r="D69" s="1236">
        <v>14</v>
      </c>
      <c r="E69" s="1236"/>
      <c r="F69" s="1238">
        <v>14</v>
      </c>
      <c r="G69" s="1238"/>
      <c r="H69" s="1239">
        <v>27000</v>
      </c>
      <c r="I69" s="1239"/>
      <c r="J69" s="1239"/>
      <c r="K69" s="1239"/>
      <c r="L69" s="1240">
        <v>270</v>
      </c>
      <c r="M69" s="1233"/>
      <c r="N69" s="1233"/>
      <c r="O69" s="1233"/>
      <c r="P69" s="1233"/>
      <c r="Q69" s="1233"/>
      <c r="R69" s="1233"/>
      <c r="S69" s="1233"/>
      <c r="T69" s="1233"/>
      <c r="U69" s="1233"/>
      <c r="V69" s="1233"/>
      <c r="W69" s="1233"/>
      <c r="X69" s="1233"/>
      <c r="Y69" s="1233"/>
      <c r="Z69" s="1233"/>
      <c r="AA69" s="1233"/>
      <c r="AB69" s="1233"/>
      <c r="AC69" s="1233"/>
      <c r="AD69" s="1233"/>
      <c r="AE69" s="1233"/>
      <c r="AF69" s="1233"/>
      <c r="AG69" s="1233"/>
    </row>
    <row r="70" spans="1:33" s="1234" customFormat="1" hidden="1">
      <c r="A70" s="1235">
        <v>27000</v>
      </c>
      <c r="B70" s="1236">
        <f t="shared" si="0"/>
        <v>27000</v>
      </c>
      <c r="C70" s="1236">
        <f t="shared" si="1"/>
        <v>27000</v>
      </c>
      <c r="D70" s="1236">
        <v>15</v>
      </c>
      <c r="E70" s="1236"/>
      <c r="F70" s="1238">
        <v>15</v>
      </c>
      <c r="G70" s="1238"/>
      <c r="H70" s="1239">
        <v>28000</v>
      </c>
      <c r="I70" s="1239"/>
      <c r="J70" s="1239"/>
      <c r="K70" s="1239"/>
      <c r="L70" s="1240">
        <v>280</v>
      </c>
      <c r="M70" s="1233"/>
      <c r="N70" s="1233"/>
      <c r="O70" s="1233"/>
      <c r="P70" s="1233"/>
      <c r="Q70" s="1233"/>
      <c r="R70" s="1233"/>
      <c r="S70" s="1233"/>
      <c r="T70" s="1233"/>
      <c r="U70" s="1233"/>
      <c r="V70" s="1233"/>
      <c r="W70" s="1233"/>
      <c r="X70" s="1233"/>
      <c r="Y70" s="1233"/>
      <c r="Z70" s="1233"/>
      <c r="AA70" s="1233"/>
      <c r="AB70" s="1233"/>
      <c r="AC70" s="1233"/>
      <c r="AD70" s="1233"/>
      <c r="AE70" s="1233"/>
      <c r="AF70" s="1233"/>
      <c r="AG70" s="1233"/>
    </row>
    <row r="71" spans="1:33" s="1234" customFormat="1" hidden="1">
      <c r="A71" s="1235">
        <v>29000</v>
      </c>
      <c r="B71" s="1236">
        <f t="shared" si="0"/>
        <v>29000</v>
      </c>
      <c r="C71" s="1236">
        <f t="shared" si="1"/>
        <v>29000</v>
      </c>
      <c r="D71" s="1236">
        <v>16</v>
      </c>
      <c r="E71" s="1236"/>
      <c r="F71" s="1238">
        <v>16</v>
      </c>
      <c r="G71" s="1238"/>
      <c r="H71" s="1239">
        <v>29000</v>
      </c>
      <c r="I71" s="1239"/>
      <c r="J71" s="1239"/>
      <c r="K71" s="1239"/>
      <c r="L71" s="1240">
        <v>290</v>
      </c>
      <c r="M71" s="1233"/>
      <c r="N71" s="1233"/>
      <c r="O71" s="1233"/>
      <c r="P71" s="1233"/>
      <c r="Q71" s="1233"/>
      <c r="R71" s="1233"/>
      <c r="S71" s="1233"/>
      <c r="T71" s="1233"/>
      <c r="U71" s="1233"/>
      <c r="V71" s="1233"/>
      <c r="W71" s="1233"/>
      <c r="X71" s="1233"/>
      <c r="Y71" s="1233"/>
      <c r="Z71" s="1233"/>
      <c r="AA71" s="1233"/>
      <c r="AB71" s="1233"/>
      <c r="AC71" s="1233"/>
      <c r="AD71" s="1233"/>
      <c r="AE71" s="1233"/>
      <c r="AF71" s="1233"/>
      <c r="AG71" s="1233"/>
    </row>
    <row r="72" spans="1:33" s="1234" customFormat="1" hidden="1">
      <c r="A72" s="1235">
        <v>31000</v>
      </c>
      <c r="B72" s="1236">
        <f t="shared" si="0"/>
        <v>31000</v>
      </c>
      <c r="C72" s="1236">
        <f t="shared" si="1"/>
        <v>31000</v>
      </c>
      <c r="D72" s="1236">
        <v>17</v>
      </c>
      <c r="E72" s="1236"/>
      <c r="F72" s="1238">
        <v>17</v>
      </c>
      <c r="G72" s="1238"/>
      <c r="H72" s="1239">
        <v>30000</v>
      </c>
      <c r="I72" s="1239"/>
      <c r="J72" s="1239"/>
      <c r="K72" s="1239"/>
      <c r="L72" s="1240">
        <v>300</v>
      </c>
      <c r="M72" s="1233"/>
      <c r="N72" s="1233"/>
      <c r="O72" s="1233"/>
      <c r="P72" s="1233"/>
      <c r="Q72" s="1233"/>
      <c r="R72" s="1233"/>
      <c r="S72" s="1233"/>
      <c r="T72" s="1233"/>
      <c r="U72" s="1233"/>
      <c r="V72" s="1233"/>
      <c r="W72" s="1233"/>
      <c r="X72" s="1233"/>
      <c r="Y72" s="1233"/>
      <c r="Z72" s="1233"/>
      <c r="AA72" s="1233"/>
      <c r="AB72" s="1233"/>
      <c r="AC72" s="1233"/>
      <c r="AD72" s="1233"/>
      <c r="AE72" s="1233"/>
      <c r="AF72" s="1233"/>
      <c r="AG72" s="1233"/>
    </row>
    <row r="73" spans="1:33" s="1234" customFormat="1" hidden="1">
      <c r="A73" s="1235">
        <v>33000</v>
      </c>
      <c r="B73" s="1236">
        <f t="shared" si="0"/>
        <v>33000</v>
      </c>
      <c r="C73" s="1236">
        <f t="shared" si="1"/>
        <v>33000</v>
      </c>
      <c r="D73" s="1236">
        <v>18</v>
      </c>
      <c r="E73" s="1236"/>
      <c r="F73" s="1238">
        <v>18</v>
      </c>
      <c r="G73" s="1238"/>
      <c r="H73" s="1239">
        <v>31000</v>
      </c>
      <c r="I73" s="1239"/>
      <c r="J73" s="1239"/>
      <c r="K73" s="1239"/>
      <c r="L73" s="1240">
        <v>310</v>
      </c>
      <c r="M73" s="1233"/>
      <c r="N73" s="1233"/>
      <c r="O73" s="1233"/>
      <c r="P73" s="1233"/>
      <c r="Q73" s="1233"/>
      <c r="R73" s="1233"/>
      <c r="S73" s="1233"/>
      <c r="T73" s="1233"/>
      <c r="U73" s="1233"/>
      <c r="V73" s="1233"/>
      <c r="W73" s="1233"/>
      <c r="X73" s="1233"/>
      <c r="Y73" s="1233"/>
      <c r="Z73" s="1233"/>
      <c r="AA73" s="1233"/>
      <c r="AB73" s="1233"/>
      <c r="AC73" s="1233"/>
      <c r="AD73" s="1233"/>
      <c r="AE73" s="1233"/>
      <c r="AF73" s="1233"/>
      <c r="AG73" s="1233"/>
    </row>
    <row r="74" spans="1:33" s="1234" customFormat="1" hidden="1">
      <c r="A74" s="1235">
        <v>35000</v>
      </c>
      <c r="B74" s="1236">
        <f t="shared" si="0"/>
        <v>35000</v>
      </c>
      <c r="C74" s="1236">
        <f t="shared" si="1"/>
        <v>35000</v>
      </c>
      <c r="D74" s="1236">
        <v>19</v>
      </c>
      <c r="E74" s="1236"/>
      <c r="F74" s="1238">
        <v>19</v>
      </c>
      <c r="G74" s="1238"/>
      <c r="H74" s="1239">
        <v>32000</v>
      </c>
      <c r="I74" s="1239"/>
      <c r="J74" s="1239"/>
      <c r="K74" s="1239"/>
      <c r="L74" s="1240">
        <v>320</v>
      </c>
      <c r="M74" s="1233"/>
      <c r="N74" s="1233"/>
      <c r="O74" s="1233"/>
      <c r="P74" s="1233"/>
      <c r="Q74" s="1233"/>
      <c r="R74" s="1233"/>
      <c r="S74" s="1233"/>
      <c r="T74" s="1233"/>
      <c r="U74" s="1233"/>
      <c r="V74" s="1233"/>
      <c r="W74" s="1233"/>
      <c r="X74" s="1233"/>
      <c r="Y74" s="1233"/>
      <c r="Z74" s="1233"/>
      <c r="AA74" s="1233"/>
      <c r="AB74" s="1233"/>
      <c r="AC74" s="1233"/>
      <c r="AD74" s="1233"/>
      <c r="AE74" s="1233"/>
      <c r="AF74" s="1233"/>
      <c r="AG74" s="1233"/>
    </row>
    <row r="75" spans="1:33" s="1234" customFormat="1" hidden="1">
      <c r="A75" s="1235">
        <v>37000</v>
      </c>
      <c r="B75" s="1236">
        <f t="shared" ref="B75:B107" si="2">B74+2000</f>
        <v>37000</v>
      </c>
      <c r="C75" s="1236"/>
      <c r="D75" s="1236">
        <v>20</v>
      </c>
      <c r="E75" s="1236"/>
      <c r="F75" s="1238">
        <v>20</v>
      </c>
      <c r="G75" s="1238"/>
      <c r="H75" s="1239">
        <v>33000</v>
      </c>
      <c r="I75" s="1239"/>
      <c r="J75" s="1239"/>
      <c r="K75" s="1239"/>
      <c r="L75" s="1240">
        <v>330</v>
      </c>
      <c r="M75" s="1233"/>
      <c r="N75" s="1233"/>
      <c r="O75" s="1233"/>
      <c r="P75" s="1233"/>
      <c r="Q75" s="1233"/>
      <c r="R75" s="1233"/>
      <c r="S75" s="1233"/>
      <c r="T75" s="1233"/>
      <c r="U75" s="1233"/>
      <c r="V75" s="1233"/>
      <c r="W75" s="1233"/>
      <c r="X75" s="1233"/>
      <c r="Y75" s="1233"/>
      <c r="Z75" s="1233"/>
      <c r="AA75" s="1233"/>
      <c r="AB75" s="1233"/>
      <c r="AC75" s="1233"/>
      <c r="AD75" s="1233"/>
      <c r="AE75" s="1233"/>
      <c r="AF75" s="1233"/>
      <c r="AG75" s="1233"/>
    </row>
    <row r="76" spans="1:33" s="1234" customFormat="1" hidden="1">
      <c r="A76" s="1235">
        <v>39000</v>
      </c>
      <c r="B76" s="1236">
        <f t="shared" si="2"/>
        <v>39000</v>
      </c>
      <c r="C76" s="1236"/>
      <c r="D76" s="1236">
        <v>21</v>
      </c>
      <c r="E76" s="1236"/>
      <c r="F76" s="1238">
        <v>21</v>
      </c>
      <c r="G76" s="1238"/>
      <c r="H76" s="1239">
        <v>34000</v>
      </c>
      <c r="I76" s="1239"/>
      <c r="J76" s="1239"/>
      <c r="K76" s="1239"/>
      <c r="L76" s="1240">
        <v>340</v>
      </c>
      <c r="M76" s="1233"/>
      <c r="N76" s="1233"/>
      <c r="O76" s="1233"/>
      <c r="P76" s="1233"/>
      <c r="Q76" s="1233"/>
      <c r="R76" s="1233"/>
      <c r="S76" s="1233"/>
      <c r="T76" s="1233"/>
      <c r="U76" s="1233"/>
      <c r="V76" s="1233"/>
      <c r="W76" s="1233"/>
      <c r="X76" s="1233"/>
      <c r="Y76" s="1233"/>
      <c r="Z76" s="1233"/>
      <c r="AA76" s="1233"/>
      <c r="AB76" s="1233"/>
      <c r="AC76" s="1233"/>
      <c r="AD76" s="1233"/>
      <c r="AE76" s="1233"/>
      <c r="AF76" s="1233"/>
      <c r="AG76" s="1233"/>
    </row>
    <row r="77" spans="1:33" s="1234" customFormat="1" hidden="1">
      <c r="A77" s="1235">
        <v>41000</v>
      </c>
      <c r="B77" s="1236">
        <f t="shared" si="2"/>
        <v>41000</v>
      </c>
      <c r="C77" s="1236"/>
      <c r="D77" s="1236">
        <v>22</v>
      </c>
      <c r="E77" s="1236"/>
      <c r="F77" s="1238">
        <v>22</v>
      </c>
      <c r="G77" s="1238"/>
      <c r="H77" s="1239"/>
      <c r="I77" s="1239"/>
      <c r="J77" s="1239"/>
      <c r="K77" s="1239"/>
      <c r="L77" s="1240">
        <v>350</v>
      </c>
      <c r="M77" s="1233"/>
      <c r="N77" s="1233"/>
      <c r="O77" s="1233"/>
      <c r="P77" s="1233"/>
      <c r="Q77" s="1233"/>
      <c r="R77" s="1233"/>
      <c r="S77" s="1233"/>
      <c r="T77" s="1233"/>
      <c r="U77" s="1233"/>
      <c r="V77" s="1233"/>
      <c r="W77" s="1233"/>
      <c r="X77" s="1233"/>
      <c r="Y77" s="1233"/>
      <c r="Z77" s="1233"/>
      <c r="AA77" s="1233"/>
      <c r="AB77" s="1233"/>
      <c r="AC77" s="1233"/>
      <c r="AD77" s="1233"/>
      <c r="AE77" s="1233"/>
      <c r="AF77" s="1233"/>
      <c r="AG77" s="1233"/>
    </row>
    <row r="78" spans="1:33" s="1234" customFormat="1" hidden="1">
      <c r="A78" s="1235">
        <v>43000</v>
      </c>
      <c r="B78" s="1236">
        <f t="shared" si="2"/>
        <v>43000</v>
      </c>
      <c r="C78" s="1236"/>
      <c r="D78" s="1236">
        <v>23</v>
      </c>
      <c r="E78" s="1236"/>
      <c r="F78" s="1238">
        <v>23</v>
      </c>
      <c r="G78" s="1238"/>
      <c r="H78" s="1239"/>
      <c r="I78" s="1239"/>
      <c r="J78" s="1239"/>
      <c r="K78" s="1239"/>
      <c r="L78" s="1240">
        <v>360</v>
      </c>
      <c r="M78" s="1233"/>
      <c r="N78" s="1233"/>
      <c r="O78" s="1233"/>
      <c r="P78" s="1233"/>
      <c r="Q78" s="1233"/>
      <c r="R78" s="1233"/>
      <c r="S78" s="1233"/>
      <c r="T78" s="1233"/>
      <c r="U78" s="1233"/>
      <c r="V78" s="1233"/>
      <c r="W78" s="1233"/>
      <c r="X78" s="1233"/>
      <c r="Y78" s="1233"/>
      <c r="Z78" s="1233"/>
      <c r="AA78" s="1233"/>
      <c r="AB78" s="1233"/>
      <c r="AC78" s="1233"/>
      <c r="AD78" s="1233"/>
      <c r="AE78" s="1233"/>
      <c r="AF78" s="1233"/>
      <c r="AG78" s="1233"/>
    </row>
    <row r="79" spans="1:33" s="1234" customFormat="1" hidden="1">
      <c r="A79" s="1235">
        <v>45000</v>
      </c>
      <c r="B79" s="1236">
        <f t="shared" si="2"/>
        <v>45000</v>
      </c>
      <c r="C79" s="1236"/>
      <c r="D79" s="1236">
        <v>24</v>
      </c>
      <c r="E79" s="1236"/>
      <c r="F79" s="1238">
        <v>24</v>
      </c>
      <c r="G79" s="1238"/>
      <c r="H79" s="1239"/>
      <c r="I79" s="1239"/>
      <c r="J79" s="1239"/>
      <c r="K79" s="1239"/>
      <c r="L79" s="1240">
        <v>370</v>
      </c>
      <c r="M79" s="1233"/>
      <c r="N79" s="1233"/>
      <c r="O79" s="1233"/>
      <c r="P79" s="1233"/>
      <c r="Q79" s="1233"/>
      <c r="R79" s="1233"/>
      <c r="S79" s="1233"/>
      <c r="T79" s="1233"/>
      <c r="U79" s="1233"/>
      <c r="V79" s="1233"/>
      <c r="W79" s="1233"/>
      <c r="X79" s="1233"/>
      <c r="Y79" s="1233"/>
      <c r="Z79" s="1233"/>
      <c r="AA79" s="1233"/>
      <c r="AB79" s="1233"/>
      <c r="AC79" s="1233"/>
      <c r="AD79" s="1233"/>
      <c r="AE79" s="1233"/>
      <c r="AF79" s="1233"/>
      <c r="AG79" s="1233"/>
    </row>
    <row r="80" spans="1:33" s="1234" customFormat="1" hidden="1">
      <c r="A80" s="1235">
        <v>47000</v>
      </c>
      <c r="B80" s="1236">
        <f t="shared" si="2"/>
        <v>47000</v>
      </c>
      <c r="C80" s="1236"/>
      <c r="D80" s="1236">
        <v>25</v>
      </c>
      <c r="E80" s="1236"/>
      <c r="F80" s="1238">
        <v>25</v>
      </c>
      <c r="G80" s="1238"/>
      <c r="H80" s="1239"/>
      <c r="I80" s="1239"/>
      <c r="J80" s="1239"/>
      <c r="K80" s="1239"/>
      <c r="L80" s="1240">
        <v>380</v>
      </c>
      <c r="M80" s="1233"/>
      <c r="N80" s="1233"/>
      <c r="O80" s="1233"/>
      <c r="P80" s="1233"/>
      <c r="Q80" s="1233"/>
      <c r="R80" s="1233"/>
      <c r="S80" s="1233"/>
      <c r="T80" s="1233"/>
      <c r="U80" s="1233"/>
      <c r="V80" s="1233"/>
      <c r="W80" s="1233"/>
      <c r="X80" s="1233"/>
      <c r="Y80" s="1233"/>
      <c r="Z80" s="1233"/>
      <c r="AA80" s="1233"/>
      <c r="AB80" s="1233"/>
      <c r="AC80" s="1233"/>
      <c r="AD80" s="1233"/>
      <c r="AE80" s="1233"/>
      <c r="AF80" s="1233"/>
      <c r="AG80" s="1233"/>
    </row>
    <row r="81" spans="1:33" s="1234" customFormat="1" hidden="1">
      <c r="A81" s="1235">
        <v>49000</v>
      </c>
      <c r="B81" s="1236">
        <f t="shared" si="2"/>
        <v>49000</v>
      </c>
      <c r="C81" s="1236"/>
      <c r="D81" s="1236">
        <v>26</v>
      </c>
      <c r="E81" s="1236"/>
      <c r="F81" s="1239"/>
      <c r="G81" s="1239"/>
      <c r="H81" s="1239"/>
      <c r="I81" s="1239"/>
      <c r="J81" s="1239"/>
      <c r="K81" s="1239"/>
      <c r="L81" s="1240">
        <v>390</v>
      </c>
      <c r="M81" s="1233"/>
      <c r="N81" s="1233"/>
      <c r="O81" s="1233"/>
      <c r="P81" s="1233"/>
      <c r="Q81" s="1233"/>
      <c r="R81" s="1233"/>
      <c r="S81" s="1233"/>
      <c r="T81" s="1233"/>
      <c r="U81" s="1233"/>
      <c r="V81" s="1233"/>
      <c r="W81" s="1233"/>
      <c r="X81" s="1233"/>
      <c r="Y81" s="1233"/>
      <c r="Z81" s="1233"/>
      <c r="AA81" s="1233"/>
      <c r="AB81" s="1233"/>
      <c r="AC81" s="1233"/>
      <c r="AD81" s="1233"/>
      <c r="AE81" s="1233"/>
      <c r="AF81" s="1233"/>
      <c r="AG81" s="1233"/>
    </row>
    <row r="82" spans="1:33" s="1234" customFormat="1" hidden="1">
      <c r="A82" s="1235">
        <v>51000</v>
      </c>
      <c r="B82" s="1236">
        <f t="shared" si="2"/>
        <v>51000</v>
      </c>
      <c r="C82" s="1236"/>
      <c r="D82" s="1236">
        <v>27</v>
      </c>
      <c r="E82" s="1236"/>
      <c r="F82" s="1239"/>
      <c r="G82" s="1239"/>
      <c r="H82" s="1239"/>
      <c r="I82" s="1239"/>
      <c r="J82" s="1239"/>
      <c r="K82" s="1239"/>
      <c r="L82" s="1240">
        <v>400</v>
      </c>
      <c r="M82" s="1233"/>
      <c r="N82" s="1233"/>
      <c r="O82" s="1233"/>
      <c r="P82" s="1233"/>
      <c r="Q82" s="1233"/>
      <c r="R82" s="1233"/>
      <c r="S82" s="1233"/>
      <c r="T82" s="1233"/>
      <c r="U82" s="1233"/>
      <c r="V82" s="1233"/>
      <c r="W82" s="1233"/>
      <c r="X82" s="1233"/>
      <c r="Y82" s="1233"/>
      <c r="Z82" s="1233"/>
      <c r="AA82" s="1233"/>
      <c r="AB82" s="1233"/>
      <c r="AC82" s="1233"/>
      <c r="AD82" s="1233"/>
      <c r="AE82" s="1233"/>
      <c r="AF82" s="1233"/>
      <c r="AG82" s="1233"/>
    </row>
    <row r="83" spans="1:33" s="1234" customFormat="1" hidden="1">
      <c r="A83" s="1235">
        <v>53000</v>
      </c>
      <c r="B83" s="1236">
        <f t="shared" si="2"/>
        <v>53000</v>
      </c>
      <c r="C83" s="1236"/>
      <c r="D83" s="1236">
        <v>28</v>
      </c>
      <c r="E83" s="1236"/>
      <c r="F83" s="1239"/>
      <c r="G83" s="1239"/>
      <c r="H83" s="1239"/>
      <c r="I83" s="1239"/>
      <c r="J83" s="1239"/>
      <c r="K83" s="1239"/>
      <c r="L83" s="1240">
        <v>410</v>
      </c>
      <c r="M83" s="1233"/>
      <c r="N83" s="1233"/>
      <c r="O83" s="1233"/>
      <c r="P83" s="1233"/>
      <c r="Q83" s="1233"/>
      <c r="R83" s="1233"/>
      <c r="S83" s="1233"/>
      <c r="T83" s="1233"/>
      <c r="U83" s="1233"/>
      <c r="V83" s="1233"/>
      <c r="W83" s="1233"/>
      <c r="X83" s="1233"/>
      <c r="Y83" s="1233"/>
      <c r="Z83" s="1233"/>
      <c r="AA83" s="1233"/>
      <c r="AB83" s="1233"/>
      <c r="AC83" s="1233"/>
      <c r="AD83" s="1233"/>
      <c r="AE83" s="1233"/>
      <c r="AF83" s="1233"/>
      <c r="AG83" s="1233"/>
    </row>
    <row r="84" spans="1:33" s="1234" customFormat="1" hidden="1">
      <c r="A84" s="1235">
        <v>55000</v>
      </c>
      <c r="B84" s="1236">
        <f t="shared" si="2"/>
        <v>55000</v>
      </c>
      <c r="C84" s="1236"/>
      <c r="D84" s="1236">
        <v>29</v>
      </c>
      <c r="E84" s="1236"/>
      <c r="F84" s="1239"/>
      <c r="G84" s="1239"/>
      <c r="H84" s="1239"/>
      <c r="I84" s="1239"/>
      <c r="J84" s="1239"/>
      <c r="K84" s="1239"/>
      <c r="L84" s="1240">
        <v>420</v>
      </c>
      <c r="M84" s="1233"/>
      <c r="N84" s="1233"/>
      <c r="O84" s="1233"/>
      <c r="P84" s="1233"/>
      <c r="Q84" s="1233"/>
      <c r="R84" s="1233"/>
      <c r="S84" s="1233"/>
      <c r="T84" s="1233"/>
      <c r="U84" s="1233"/>
      <c r="V84" s="1233"/>
      <c r="W84" s="1233"/>
      <c r="X84" s="1233"/>
      <c r="Y84" s="1233"/>
      <c r="Z84" s="1233"/>
      <c r="AA84" s="1233"/>
      <c r="AB84" s="1233"/>
      <c r="AC84" s="1233"/>
      <c r="AD84" s="1233"/>
      <c r="AE84" s="1233"/>
      <c r="AF84" s="1233"/>
      <c r="AG84" s="1233"/>
    </row>
    <row r="85" spans="1:33" s="1234" customFormat="1" hidden="1">
      <c r="A85" s="1235">
        <v>57000</v>
      </c>
      <c r="B85" s="1236">
        <f t="shared" si="2"/>
        <v>57000</v>
      </c>
      <c r="C85" s="1236"/>
      <c r="D85" s="1236">
        <v>30</v>
      </c>
      <c r="E85" s="1236"/>
      <c r="F85" s="1239"/>
      <c r="G85" s="1239"/>
      <c r="H85" s="1239"/>
      <c r="I85" s="1239"/>
      <c r="J85" s="1239"/>
      <c r="K85" s="1239"/>
      <c r="L85" s="1240">
        <v>430</v>
      </c>
      <c r="M85" s="1233"/>
      <c r="N85" s="1233"/>
      <c r="O85" s="1233"/>
      <c r="P85" s="1233"/>
      <c r="Q85" s="1233"/>
      <c r="R85" s="1233"/>
      <c r="S85" s="1233"/>
      <c r="T85" s="1233"/>
      <c r="U85" s="1233"/>
      <c r="V85" s="1233"/>
      <c r="W85" s="1233"/>
      <c r="X85" s="1233"/>
      <c r="Y85" s="1233"/>
      <c r="Z85" s="1233"/>
      <c r="AA85" s="1233"/>
      <c r="AB85" s="1233"/>
      <c r="AC85" s="1233"/>
      <c r="AD85" s="1233"/>
      <c r="AE85" s="1233"/>
      <c r="AF85" s="1233"/>
      <c r="AG85" s="1233"/>
    </row>
    <row r="86" spans="1:33" s="1234" customFormat="1" hidden="1">
      <c r="A86" s="1235">
        <v>59000</v>
      </c>
      <c r="B86" s="1236">
        <f t="shared" si="2"/>
        <v>59000</v>
      </c>
      <c r="C86" s="1236"/>
      <c r="D86" s="1236">
        <v>31</v>
      </c>
      <c r="E86" s="1236"/>
      <c r="F86" s="1239"/>
      <c r="G86" s="1239"/>
      <c r="H86" s="1239"/>
      <c r="I86" s="1239"/>
      <c r="J86" s="1239"/>
      <c r="K86" s="1239"/>
      <c r="L86" s="1240">
        <v>440</v>
      </c>
      <c r="M86" s="1233"/>
      <c r="N86" s="1233"/>
      <c r="O86" s="1233"/>
      <c r="P86" s="1233"/>
      <c r="Q86" s="1233"/>
      <c r="R86" s="1233"/>
      <c r="S86" s="1233"/>
      <c r="T86" s="1233"/>
      <c r="U86" s="1233"/>
      <c r="V86" s="1233"/>
      <c r="W86" s="1233"/>
      <c r="X86" s="1233"/>
      <c r="Y86" s="1233"/>
      <c r="Z86" s="1233"/>
      <c r="AA86" s="1233"/>
      <c r="AB86" s="1233"/>
      <c r="AC86" s="1233"/>
      <c r="AD86" s="1233"/>
      <c r="AE86" s="1233"/>
      <c r="AF86" s="1233"/>
      <c r="AG86" s="1233"/>
    </row>
    <row r="87" spans="1:33" s="1234" customFormat="1" hidden="1">
      <c r="A87" s="1235">
        <v>61000</v>
      </c>
      <c r="B87" s="1236">
        <f t="shared" si="2"/>
        <v>61000</v>
      </c>
      <c r="C87" s="1236"/>
      <c r="D87" s="1236">
        <v>32</v>
      </c>
      <c r="E87" s="1236"/>
      <c r="F87" s="1239"/>
      <c r="G87" s="1239"/>
      <c r="H87" s="1239"/>
      <c r="I87" s="1239"/>
      <c r="J87" s="1239"/>
      <c r="K87" s="1239"/>
      <c r="L87" s="1240">
        <v>450</v>
      </c>
      <c r="M87" s="1233"/>
      <c r="N87" s="1233"/>
      <c r="O87" s="1233"/>
      <c r="P87" s="1233"/>
      <c r="Q87" s="1233"/>
      <c r="R87" s="1233"/>
      <c r="S87" s="1233"/>
      <c r="T87" s="1233"/>
      <c r="U87" s="1233"/>
      <c r="V87" s="1233"/>
      <c r="W87" s="1233"/>
      <c r="X87" s="1233"/>
      <c r="Y87" s="1233"/>
      <c r="Z87" s="1233"/>
      <c r="AA87" s="1233"/>
      <c r="AB87" s="1233"/>
      <c r="AC87" s="1233"/>
      <c r="AD87" s="1233"/>
      <c r="AE87" s="1233"/>
      <c r="AF87" s="1233"/>
      <c r="AG87" s="1233"/>
    </row>
    <row r="88" spans="1:33" s="1234" customFormat="1" hidden="1">
      <c r="A88" s="1235">
        <v>63000</v>
      </c>
      <c r="B88" s="1236">
        <f t="shared" si="2"/>
        <v>63000</v>
      </c>
      <c r="C88" s="1236"/>
      <c r="D88" s="1236">
        <v>33</v>
      </c>
      <c r="F88" s="1241"/>
      <c r="G88" s="1241"/>
      <c r="H88" s="1238"/>
      <c r="I88" s="1238"/>
      <c r="J88" s="1238"/>
      <c r="K88" s="1238"/>
      <c r="L88" s="1240">
        <v>460</v>
      </c>
      <c r="M88" s="1233"/>
      <c r="N88" s="1233"/>
      <c r="O88" s="1233"/>
      <c r="P88" s="1233"/>
      <c r="Q88" s="1233"/>
      <c r="R88" s="1233"/>
      <c r="S88" s="1233"/>
      <c r="T88" s="1233"/>
      <c r="U88" s="1233"/>
      <c r="V88" s="1233"/>
      <c r="W88" s="1233"/>
      <c r="X88" s="1233"/>
      <c r="Y88" s="1233"/>
      <c r="Z88" s="1233"/>
      <c r="AA88" s="1233"/>
      <c r="AB88" s="1233"/>
      <c r="AC88" s="1233"/>
      <c r="AD88" s="1233"/>
      <c r="AE88" s="1233"/>
      <c r="AF88" s="1233"/>
      <c r="AG88" s="1233"/>
    </row>
    <row r="89" spans="1:33" s="1234" customFormat="1" hidden="1">
      <c r="A89" s="1235">
        <v>65000</v>
      </c>
      <c r="B89" s="1236">
        <f t="shared" si="2"/>
        <v>65000</v>
      </c>
      <c r="C89" s="1236"/>
      <c r="D89" s="1236">
        <v>34</v>
      </c>
      <c r="F89" s="1241"/>
      <c r="G89" s="1241"/>
      <c r="H89" s="1238"/>
      <c r="I89" s="1238"/>
      <c r="J89" s="1238"/>
      <c r="K89" s="1238"/>
      <c r="L89" s="1240">
        <v>470</v>
      </c>
      <c r="M89" s="1233"/>
      <c r="N89" s="1233"/>
      <c r="O89" s="1233"/>
      <c r="P89" s="1233"/>
      <c r="Q89" s="1233"/>
      <c r="R89" s="1233"/>
      <c r="S89" s="1233"/>
      <c r="T89" s="1233"/>
      <c r="U89" s="1233"/>
      <c r="V89" s="1233"/>
      <c r="W89" s="1233"/>
      <c r="X89" s="1233"/>
      <c r="Y89" s="1233"/>
      <c r="Z89" s="1233"/>
      <c r="AA89" s="1233"/>
      <c r="AB89" s="1233"/>
      <c r="AC89" s="1233"/>
      <c r="AD89" s="1233"/>
      <c r="AE89" s="1233"/>
      <c r="AF89" s="1233"/>
      <c r="AG89" s="1233"/>
    </row>
    <row r="90" spans="1:33" s="1234" customFormat="1" hidden="1">
      <c r="A90" s="1235">
        <v>67000</v>
      </c>
      <c r="B90" s="1236">
        <f t="shared" si="2"/>
        <v>67000</v>
      </c>
      <c r="C90" s="1236"/>
      <c r="D90" s="1236">
        <v>35</v>
      </c>
      <c r="F90" s="1241"/>
      <c r="G90" s="1241"/>
      <c r="H90" s="1238"/>
      <c r="I90" s="1238"/>
      <c r="J90" s="1238"/>
      <c r="K90" s="1238"/>
      <c r="L90" s="1240">
        <v>480</v>
      </c>
      <c r="M90" s="1233"/>
      <c r="N90" s="1233"/>
      <c r="O90" s="1233"/>
      <c r="P90" s="1233"/>
      <c r="Q90" s="1233"/>
      <c r="R90" s="1233"/>
      <c r="S90" s="1233"/>
      <c r="T90" s="1233"/>
      <c r="U90" s="1233"/>
      <c r="V90" s="1233"/>
      <c r="W90" s="1233"/>
      <c r="X90" s="1233"/>
      <c r="Y90" s="1233"/>
      <c r="Z90" s="1233"/>
      <c r="AA90" s="1233"/>
      <c r="AB90" s="1233"/>
      <c r="AC90" s="1233"/>
      <c r="AD90" s="1233"/>
      <c r="AE90" s="1233"/>
      <c r="AF90" s="1233"/>
      <c r="AG90" s="1233"/>
    </row>
    <row r="91" spans="1:33" s="1234" customFormat="1" hidden="1">
      <c r="A91" s="1235">
        <v>69000</v>
      </c>
      <c r="B91" s="1236">
        <f t="shared" si="2"/>
        <v>69000</v>
      </c>
      <c r="C91" s="1236"/>
      <c r="D91" s="1236">
        <v>36</v>
      </c>
      <c r="F91" s="1241"/>
      <c r="G91" s="1241"/>
      <c r="H91" s="1238"/>
      <c r="I91" s="1238"/>
      <c r="J91" s="1238"/>
      <c r="K91" s="1238"/>
      <c r="L91" s="1240">
        <v>490</v>
      </c>
      <c r="M91" s="1233"/>
      <c r="N91" s="1233"/>
      <c r="O91" s="1233"/>
      <c r="P91" s="1233"/>
      <c r="Q91" s="1233"/>
      <c r="R91" s="1233"/>
      <c r="S91" s="1233"/>
      <c r="T91" s="1233"/>
      <c r="U91" s="1233"/>
      <c r="V91" s="1233"/>
      <c r="W91" s="1233"/>
      <c r="X91" s="1233"/>
      <c r="Y91" s="1233"/>
      <c r="Z91" s="1233"/>
      <c r="AA91" s="1233"/>
      <c r="AB91" s="1233"/>
      <c r="AC91" s="1233"/>
      <c r="AD91" s="1233"/>
      <c r="AE91" s="1233"/>
      <c r="AF91" s="1233"/>
      <c r="AG91" s="1233"/>
    </row>
    <row r="92" spans="1:33" s="1234" customFormat="1" hidden="1">
      <c r="A92" s="1235">
        <v>71000</v>
      </c>
      <c r="B92" s="1236">
        <f t="shared" si="2"/>
        <v>71000</v>
      </c>
      <c r="C92" s="1236"/>
      <c r="F92" s="1241"/>
      <c r="G92" s="1241"/>
      <c r="H92" s="1238"/>
      <c r="I92" s="1238"/>
      <c r="J92" s="1238"/>
      <c r="K92" s="1238"/>
      <c r="L92" s="1240">
        <v>500</v>
      </c>
      <c r="M92" s="1233"/>
      <c r="N92" s="1233"/>
      <c r="O92" s="1233"/>
      <c r="P92" s="1233"/>
      <c r="Q92" s="1233"/>
      <c r="R92" s="1233"/>
      <c r="S92" s="1233"/>
      <c r="T92" s="1233"/>
      <c r="U92" s="1233"/>
      <c r="V92" s="1233"/>
      <c r="W92" s="1233"/>
      <c r="X92" s="1233"/>
      <c r="Y92" s="1233"/>
      <c r="Z92" s="1233"/>
      <c r="AA92" s="1233"/>
      <c r="AB92" s="1233"/>
      <c r="AC92" s="1233"/>
      <c r="AD92" s="1233"/>
      <c r="AE92" s="1233"/>
      <c r="AF92" s="1233"/>
      <c r="AG92" s="1233"/>
    </row>
    <row r="93" spans="1:33" s="1234" customFormat="1" hidden="1">
      <c r="A93" s="1235">
        <v>73000</v>
      </c>
      <c r="B93" s="1236">
        <f t="shared" si="2"/>
        <v>73000</v>
      </c>
      <c r="C93" s="1236"/>
      <c r="F93" s="1241"/>
      <c r="G93" s="1241"/>
      <c r="H93" s="1238"/>
      <c r="I93" s="1238"/>
      <c r="J93" s="1238"/>
      <c r="K93" s="1238"/>
      <c r="L93" s="1240">
        <v>510</v>
      </c>
      <c r="M93" s="1233"/>
      <c r="N93" s="1233"/>
      <c r="O93" s="1233"/>
      <c r="P93" s="1233"/>
      <c r="Q93" s="1233"/>
      <c r="R93" s="1233"/>
      <c r="S93" s="1233"/>
      <c r="T93" s="1233"/>
      <c r="U93" s="1233"/>
      <c r="V93" s="1233"/>
      <c r="W93" s="1233"/>
      <c r="X93" s="1233"/>
      <c r="Y93" s="1233"/>
      <c r="Z93" s="1233"/>
      <c r="AA93" s="1233"/>
      <c r="AB93" s="1233"/>
      <c r="AC93" s="1233"/>
      <c r="AD93" s="1233"/>
      <c r="AE93" s="1233"/>
      <c r="AF93" s="1233"/>
      <c r="AG93" s="1233"/>
    </row>
    <row r="94" spans="1:33" s="1234" customFormat="1" hidden="1">
      <c r="A94" s="1235">
        <v>75000</v>
      </c>
      <c r="B94" s="1236">
        <f t="shared" si="2"/>
        <v>75000</v>
      </c>
      <c r="C94" s="1236"/>
      <c r="F94" s="1241"/>
      <c r="G94" s="1241"/>
      <c r="H94" s="1238"/>
      <c r="I94" s="1238"/>
      <c r="J94" s="1238"/>
      <c r="K94" s="1238"/>
      <c r="L94" s="1240">
        <v>520</v>
      </c>
      <c r="M94" s="1233"/>
      <c r="N94" s="1233"/>
      <c r="O94" s="1233"/>
      <c r="P94" s="1233"/>
      <c r="Q94" s="1233"/>
      <c r="R94" s="1233"/>
      <c r="S94" s="1233"/>
      <c r="T94" s="1233"/>
      <c r="U94" s="1233"/>
      <c r="V94" s="1233"/>
      <c r="W94" s="1233"/>
      <c r="X94" s="1233"/>
      <c r="Y94" s="1233"/>
      <c r="Z94" s="1233"/>
      <c r="AA94" s="1233"/>
      <c r="AB94" s="1233"/>
      <c r="AC94" s="1233"/>
      <c r="AD94" s="1233"/>
      <c r="AE94" s="1233"/>
      <c r="AF94" s="1233"/>
      <c r="AG94" s="1233"/>
    </row>
    <row r="95" spans="1:33" s="1234" customFormat="1" hidden="1">
      <c r="A95" s="1235">
        <v>77000</v>
      </c>
      <c r="B95" s="1236">
        <f t="shared" si="2"/>
        <v>77000</v>
      </c>
      <c r="C95" s="1236"/>
      <c r="F95" s="1241"/>
      <c r="G95" s="1241"/>
      <c r="H95" s="1238"/>
      <c r="I95" s="1238"/>
      <c r="J95" s="1238"/>
      <c r="K95" s="1238"/>
      <c r="L95" s="1240">
        <v>530</v>
      </c>
      <c r="M95" s="1233"/>
      <c r="N95" s="1233"/>
      <c r="O95" s="1233"/>
      <c r="P95" s="1233"/>
      <c r="Q95" s="1233"/>
      <c r="R95" s="1233"/>
      <c r="S95" s="1233"/>
      <c r="T95" s="1233"/>
      <c r="U95" s="1233"/>
      <c r="V95" s="1233"/>
      <c r="W95" s="1233"/>
      <c r="X95" s="1233"/>
      <c r="Y95" s="1233"/>
      <c r="Z95" s="1233"/>
      <c r="AA95" s="1233"/>
      <c r="AB95" s="1233"/>
      <c r="AC95" s="1233"/>
      <c r="AD95" s="1233"/>
      <c r="AE95" s="1233"/>
      <c r="AF95" s="1233"/>
      <c r="AG95" s="1233"/>
    </row>
    <row r="96" spans="1:33" s="1234" customFormat="1" hidden="1">
      <c r="A96" s="1235">
        <v>79000</v>
      </c>
      <c r="B96" s="1236">
        <f t="shared" si="2"/>
        <v>79000</v>
      </c>
      <c r="C96" s="1236"/>
      <c r="F96" s="1241"/>
      <c r="G96" s="1241"/>
      <c r="H96" s="1238"/>
      <c r="I96" s="1238"/>
      <c r="J96" s="1238"/>
      <c r="K96" s="1238"/>
      <c r="L96" s="1240">
        <v>540</v>
      </c>
      <c r="M96" s="1233"/>
      <c r="N96" s="1233"/>
      <c r="O96" s="1233"/>
      <c r="P96" s="1233"/>
      <c r="Q96" s="1233"/>
      <c r="R96" s="1233"/>
      <c r="S96" s="1233"/>
      <c r="T96" s="1233"/>
      <c r="U96" s="1233"/>
      <c r="V96" s="1233"/>
      <c r="W96" s="1233"/>
      <c r="X96" s="1233"/>
      <c r="Y96" s="1233"/>
      <c r="Z96" s="1233"/>
      <c r="AA96" s="1233"/>
      <c r="AB96" s="1233"/>
      <c r="AC96" s="1233"/>
      <c r="AD96" s="1233"/>
      <c r="AE96" s="1233"/>
      <c r="AF96" s="1233"/>
      <c r="AG96" s="1233"/>
    </row>
    <row r="97" spans="1:33" s="1234" customFormat="1" hidden="1">
      <c r="A97" s="1235">
        <v>81000</v>
      </c>
      <c r="B97" s="1236">
        <f t="shared" si="2"/>
        <v>81000</v>
      </c>
      <c r="C97" s="1236"/>
      <c r="F97" s="1241"/>
      <c r="G97" s="1241"/>
      <c r="H97" s="1238"/>
      <c r="I97" s="1238"/>
      <c r="J97" s="1238"/>
      <c r="K97" s="1238"/>
      <c r="L97" s="1240">
        <v>550</v>
      </c>
      <c r="M97" s="1233"/>
      <c r="N97" s="1233"/>
      <c r="O97" s="1233"/>
      <c r="P97" s="1233"/>
      <c r="Q97" s="1233"/>
      <c r="R97" s="1233"/>
      <c r="S97" s="1233"/>
      <c r="T97" s="1233"/>
      <c r="U97" s="1233"/>
      <c r="V97" s="1233"/>
      <c r="W97" s="1233"/>
      <c r="X97" s="1233"/>
      <c r="Y97" s="1233"/>
      <c r="Z97" s="1233"/>
      <c r="AA97" s="1233"/>
      <c r="AB97" s="1233"/>
      <c r="AC97" s="1233"/>
      <c r="AD97" s="1233"/>
      <c r="AE97" s="1233"/>
      <c r="AF97" s="1233"/>
      <c r="AG97" s="1233"/>
    </row>
    <row r="98" spans="1:33" s="1234" customFormat="1" hidden="1">
      <c r="A98" s="1235">
        <v>83000</v>
      </c>
      <c r="B98" s="1236">
        <f t="shared" si="2"/>
        <v>83000</v>
      </c>
      <c r="C98" s="1236"/>
      <c r="F98" s="1241"/>
      <c r="G98" s="1241"/>
      <c r="H98" s="1238"/>
      <c r="I98" s="1238"/>
      <c r="J98" s="1238"/>
      <c r="K98" s="1238"/>
      <c r="L98" s="1240">
        <v>560</v>
      </c>
      <c r="M98" s="1233"/>
      <c r="N98" s="1233"/>
      <c r="O98" s="1233"/>
      <c r="P98" s="1233"/>
      <c r="Q98" s="1233"/>
      <c r="R98" s="1233"/>
      <c r="S98" s="1233"/>
      <c r="T98" s="1233"/>
      <c r="U98" s="1233"/>
      <c r="V98" s="1233"/>
      <c r="W98" s="1233"/>
      <c r="X98" s="1233"/>
      <c r="Y98" s="1233"/>
      <c r="Z98" s="1233"/>
      <c r="AA98" s="1233"/>
      <c r="AB98" s="1233"/>
      <c r="AC98" s="1233"/>
      <c r="AD98" s="1233"/>
      <c r="AE98" s="1233"/>
      <c r="AF98" s="1233"/>
      <c r="AG98" s="1233"/>
    </row>
    <row r="99" spans="1:33" s="1234" customFormat="1" hidden="1">
      <c r="A99" s="1235">
        <v>85000</v>
      </c>
      <c r="B99" s="1236">
        <f t="shared" si="2"/>
        <v>85000</v>
      </c>
      <c r="C99" s="1236"/>
      <c r="F99" s="1241"/>
      <c r="G99" s="1241"/>
      <c r="H99" s="1238"/>
      <c r="I99" s="1238"/>
      <c r="J99" s="1238"/>
      <c r="K99" s="1238"/>
      <c r="L99" s="1240">
        <v>570</v>
      </c>
      <c r="M99" s="1233"/>
      <c r="N99" s="1233"/>
      <c r="O99" s="1233"/>
      <c r="P99" s="1233"/>
      <c r="Q99" s="1233"/>
      <c r="R99" s="1233"/>
      <c r="S99" s="1233"/>
      <c r="T99" s="1233"/>
      <c r="U99" s="1233"/>
      <c r="V99" s="1233"/>
      <c r="W99" s="1233"/>
      <c r="X99" s="1233"/>
      <c r="Y99" s="1233"/>
      <c r="Z99" s="1233"/>
      <c r="AA99" s="1233"/>
      <c r="AB99" s="1233"/>
      <c r="AC99" s="1233"/>
      <c r="AD99" s="1233"/>
      <c r="AE99" s="1233"/>
      <c r="AF99" s="1233"/>
      <c r="AG99" s="1233"/>
    </row>
    <row r="100" spans="1:33" s="1234" customFormat="1" hidden="1">
      <c r="A100" s="1235">
        <v>87000</v>
      </c>
      <c r="B100" s="1236">
        <f t="shared" si="2"/>
        <v>87000</v>
      </c>
      <c r="C100" s="1236"/>
      <c r="F100" s="1241"/>
      <c r="G100" s="1241"/>
      <c r="H100" s="1238"/>
      <c r="I100" s="1238"/>
      <c r="J100" s="1238"/>
      <c r="K100" s="1238"/>
      <c r="L100" s="1240">
        <v>580</v>
      </c>
      <c r="M100" s="1233"/>
      <c r="N100" s="1233"/>
      <c r="O100" s="1233"/>
      <c r="P100" s="1233"/>
      <c r="Q100" s="1233"/>
      <c r="R100" s="1233"/>
      <c r="S100" s="1233"/>
      <c r="T100" s="1233"/>
      <c r="U100" s="1233"/>
      <c r="V100" s="1233"/>
      <c r="W100" s="1233"/>
      <c r="X100" s="1233"/>
      <c r="Y100" s="1233"/>
      <c r="Z100" s="1233"/>
      <c r="AA100" s="1233"/>
      <c r="AB100" s="1233"/>
      <c r="AC100" s="1233"/>
      <c r="AD100" s="1233"/>
      <c r="AE100" s="1233"/>
      <c r="AF100" s="1233"/>
      <c r="AG100" s="1233"/>
    </row>
    <row r="101" spans="1:33" s="1234" customFormat="1" hidden="1">
      <c r="A101" s="1235">
        <v>89000</v>
      </c>
      <c r="B101" s="1236">
        <f t="shared" si="2"/>
        <v>89000</v>
      </c>
      <c r="C101" s="1236"/>
      <c r="F101" s="1241"/>
      <c r="G101" s="1241"/>
      <c r="H101" s="1238"/>
      <c r="I101" s="1238"/>
      <c r="J101" s="1238"/>
      <c r="K101" s="1238"/>
      <c r="L101" s="1240">
        <v>590</v>
      </c>
      <c r="M101" s="1233"/>
      <c r="N101" s="1233"/>
      <c r="O101" s="1233"/>
      <c r="P101" s="1233"/>
      <c r="Q101" s="1233"/>
      <c r="R101" s="1233"/>
      <c r="S101" s="1233"/>
      <c r="T101" s="1233"/>
      <c r="U101" s="1233"/>
      <c r="V101" s="1233"/>
      <c r="W101" s="1233"/>
      <c r="X101" s="1233"/>
      <c r="Y101" s="1233"/>
      <c r="Z101" s="1233"/>
      <c r="AA101" s="1233"/>
      <c r="AB101" s="1233"/>
      <c r="AC101" s="1233"/>
      <c r="AD101" s="1233"/>
      <c r="AE101" s="1233"/>
      <c r="AF101" s="1233"/>
      <c r="AG101" s="1233"/>
    </row>
    <row r="102" spans="1:33" s="1234" customFormat="1" hidden="1">
      <c r="A102" s="1235">
        <v>91000</v>
      </c>
      <c r="B102" s="1236">
        <f t="shared" si="2"/>
        <v>91000</v>
      </c>
      <c r="C102" s="1236"/>
      <c r="F102" s="1241"/>
      <c r="G102" s="1241"/>
      <c r="H102" s="1238"/>
      <c r="I102" s="1238"/>
      <c r="J102" s="1238"/>
      <c r="K102" s="1238"/>
      <c r="L102" s="1240">
        <v>600</v>
      </c>
      <c r="M102" s="1233"/>
      <c r="N102" s="1233"/>
      <c r="O102" s="1233"/>
      <c r="P102" s="1233"/>
      <c r="Q102" s="1233"/>
      <c r="R102" s="1233"/>
      <c r="S102" s="1233"/>
      <c r="T102" s="1233"/>
      <c r="U102" s="1233"/>
      <c r="V102" s="1233"/>
      <c r="W102" s="1233"/>
      <c r="X102" s="1233"/>
      <c r="Y102" s="1233"/>
      <c r="Z102" s="1233"/>
      <c r="AA102" s="1233"/>
      <c r="AB102" s="1233"/>
      <c r="AC102" s="1233"/>
      <c r="AD102" s="1233"/>
      <c r="AE102" s="1233"/>
      <c r="AF102" s="1233"/>
      <c r="AG102" s="1233"/>
    </row>
    <row r="103" spans="1:33" s="1234" customFormat="1" hidden="1">
      <c r="A103" s="1235">
        <v>93000</v>
      </c>
      <c r="B103" s="1236">
        <f t="shared" si="2"/>
        <v>93000</v>
      </c>
      <c r="C103" s="1236"/>
      <c r="F103" s="1241"/>
      <c r="G103" s="1241"/>
      <c r="H103" s="1238"/>
      <c r="I103" s="1238"/>
      <c r="J103" s="1238"/>
      <c r="K103" s="1238"/>
      <c r="L103" s="1240">
        <v>610</v>
      </c>
      <c r="M103" s="1233"/>
      <c r="N103" s="1233"/>
      <c r="O103" s="1233"/>
      <c r="P103" s="1233"/>
      <c r="Q103" s="1233"/>
      <c r="R103" s="1233"/>
      <c r="S103" s="1233"/>
      <c r="T103" s="1233"/>
      <c r="U103" s="1233"/>
      <c r="V103" s="1233"/>
      <c r="W103" s="1233"/>
      <c r="X103" s="1233"/>
      <c r="Y103" s="1233"/>
      <c r="Z103" s="1233"/>
      <c r="AA103" s="1233"/>
      <c r="AB103" s="1233"/>
      <c r="AC103" s="1233"/>
      <c r="AD103" s="1233"/>
      <c r="AE103" s="1233"/>
      <c r="AF103" s="1233"/>
      <c r="AG103" s="1233"/>
    </row>
    <row r="104" spans="1:33" s="1234" customFormat="1" hidden="1">
      <c r="A104" s="1235">
        <v>95000</v>
      </c>
      <c r="B104" s="1236">
        <f t="shared" si="2"/>
        <v>95000</v>
      </c>
      <c r="C104" s="1236"/>
      <c r="F104" s="1241"/>
      <c r="G104" s="1241"/>
      <c r="H104" s="1238"/>
      <c r="I104" s="1238"/>
      <c r="J104" s="1238"/>
      <c r="K104" s="1238"/>
      <c r="L104" s="1240">
        <v>620</v>
      </c>
      <c r="M104" s="1233"/>
      <c r="N104" s="1233"/>
      <c r="O104" s="1233"/>
      <c r="P104" s="1233"/>
      <c r="Q104" s="1233"/>
      <c r="R104" s="1233"/>
      <c r="S104" s="1233"/>
      <c r="T104" s="1233"/>
      <c r="U104" s="1233"/>
      <c r="V104" s="1233"/>
      <c r="W104" s="1233"/>
      <c r="X104" s="1233"/>
      <c r="Y104" s="1233"/>
      <c r="Z104" s="1233"/>
      <c r="AA104" s="1233"/>
      <c r="AB104" s="1233"/>
      <c r="AC104" s="1233"/>
      <c r="AD104" s="1233"/>
      <c r="AE104" s="1233"/>
      <c r="AF104" s="1233"/>
      <c r="AG104" s="1233"/>
    </row>
    <row r="105" spans="1:33" s="1234" customFormat="1" hidden="1">
      <c r="A105" s="1235">
        <v>97000</v>
      </c>
      <c r="B105" s="1236">
        <f t="shared" si="2"/>
        <v>97000</v>
      </c>
      <c r="C105" s="1236"/>
      <c r="F105" s="1241"/>
      <c r="G105" s="1241"/>
      <c r="H105" s="1238"/>
      <c r="I105" s="1238"/>
      <c r="J105" s="1238"/>
      <c r="K105" s="1238"/>
      <c r="L105" s="1240">
        <v>630</v>
      </c>
      <c r="M105" s="1233"/>
      <c r="N105" s="1233"/>
      <c r="O105" s="1233"/>
      <c r="P105" s="1233"/>
      <c r="Q105" s="1233"/>
      <c r="R105" s="1233"/>
      <c r="S105" s="1233"/>
      <c r="T105" s="1233"/>
      <c r="U105" s="1233"/>
      <c r="V105" s="1233"/>
      <c r="W105" s="1233"/>
      <c r="X105" s="1233"/>
      <c r="Y105" s="1233"/>
      <c r="Z105" s="1233"/>
      <c r="AA105" s="1233"/>
      <c r="AB105" s="1233"/>
      <c r="AC105" s="1233"/>
      <c r="AD105" s="1233"/>
      <c r="AE105" s="1233"/>
      <c r="AF105" s="1233"/>
      <c r="AG105" s="1233"/>
    </row>
    <row r="106" spans="1:33" s="1234" customFormat="1" hidden="1">
      <c r="A106" s="1235">
        <v>99000</v>
      </c>
      <c r="B106" s="1236">
        <f t="shared" si="2"/>
        <v>99000</v>
      </c>
      <c r="C106" s="1236"/>
      <c r="F106" s="1241"/>
      <c r="G106" s="1241"/>
      <c r="H106" s="1238"/>
      <c r="I106" s="1238"/>
      <c r="J106" s="1238"/>
      <c r="K106" s="1238"/>
      <c r="L106" s="1240">
        <v>640</v>
      </c>
      <c r="M106" s="1233"/>
      <c r="N106" s="1233"/>
      <c r="O106" s="1233"/>
      <c r="P106" s="1233"/>
      <c r="Q106" s="1233"/>
      <c r="R106" s="1233"/>
      <c r="S106" s="1233"/>
      <c r="T106" s="1233"/>
      <c r="U106" s="1233"/>
      <c r="V106" s="1233"/>
      <c r="W106" s="1233"/>
      <c r="X106" s="1233"/>
      <c r="Y106" s="1233"/>
      <c r="Z106" s="1233"/>
      <c r="AA106" s="1233"/>
      <c r="AB106" s="1233"/>
      <c r="AC106" s="1233"/>
      <c r="AD106" s="1233"/>
      <c r="AE106" s="1233"/>
      <c r="AF106" s="1233"/>
      <c r="AG106" s="1233"/>
    </row>
    <row r="107" spans="1:33" s="1234" customFormat="1" hidden="1">
      <c r="A107" s="1235">
        <v>101000</v>
      </c>
      <c r="B107" s="1242">
        <f t="shared" si="2"/>
        <v>101000</v>
      </c>
      <c r="C107" s="1236"/>
      <c r="F107" s="1241"/>
      <c r="G107" s="1241"/>
      <c r="H107" s="1238"/>
      <c r="I107" s="1238"/>
      <c r="J107" s="1238"/>
      <c r="K107" s="1238"/>
      <c r="L107" s="1240">
        <v>650</v>
      </c>
      <c r="M107" s="1233"/>
      <c r="N107" s="1233"/>
      <c r="O107" s="1233"/>
      <c r="P107" s="1233"/>
      <c r="Q107" s="1233"/>
      <c r="R107" s="1233"/>
      <c r="S107" s="1233"/>
      <c r="T107" s="1233"/>
      <c r="U107" s="1233"/>
      <c r="V107" s="1233"/>
      <c r="W107" s="1233"/>
      <c r="X107" s="1233"/>
      <c r="Y107" s="1233"/>
      <c r="Z107" s="1233"/>
      <c r="AA107" s="1233"/>
      <c r="AB107" s="1233"/>
      <c r="AC107" s="1233"/>
      <c r="AD107" s="1233"/>
      <c r="AE107" s="1233"/>
      <c r="AF107" s="1233"/>
      <c r="AG107" s="1233"/>
    </row>
    <row r="108" spans="1:33" s="1211" customFormat="1" hidden="1">
      <c r="A108" s="1243"/>
      <c r="B108" s="1234"/>
      <c r="C108" s="1234"/>
      <c r="D108" s="1234"/>
      <c r="E108" s="1234"/>
      <c r="F108" s="1238"/>
      <c r="G108" s="1238"/>
      <c r="H108" s="1238"/>
      <c r="I108" s="1238"/>
      <c r="J108" s="1238"/>
      <c r="K108" s="1238"/>
      <c r="L108" s="1240">
        <v>660</v>
      </c>
      <c r="M108" s="1213"/>
      <c r="N108" s="1213"/>
      <c r="O108" s="1213"/>
      <c r="P108" s="1213"/>
      <c r="Q108" s="1213"/>
      <c r="R108" s="1213"/>
      <c r="S108" s="1213"/>
      <c r="T108" s="1213"/>
      <c r="U108" s="1213"/>
      <c r="V108" s="1213"/>
      <c r="W108" s="1213"/>
      <c r="X108" s="1213"/>
      <c r="Y108" s="1213"/>
      <c r="Z108" s="1213"/>
      <c r="AA108" s="1213"/>
      <c r="AB108" s="1213"/>
      <c r="AC108" s="1213"/>
      <c r="AD108" s="1213"/>
      <c r="AE108" s="1213"/>
      <c r="AF108" s="1213"/>
    </row>
    <row r="109" spans="1:33" s="1211" customFormat="1" hidden="1">
      <c r="A109" s="1244"/>
      <c r="B109" s="1245"/>
      <c r="C109" s="1245"/>
      <c r="D109" s="1245"/>
      <c r="E109" s="1245"/>
      <c r="F109" s="1246"/>
      <c r="G109" s="1246"/>
      <c r="H109" s="1246"/>
      <c r="I109" s="1246"/>
      <c r="J109" s="1246"/>
      <c r="K109" s="1246"/>
      <c r="L109" s="1247">
        <v>670</v>
      </c>
      <c r="M109" s="1213"/>
      <c r="N109" s="1213"/>
      <c r="O109" s="1213"/>
      <c r="P109" s="1213"/>
      <c r="Q109" s="1213"/>
      <c r="R109" s="1213"/>
      <c r="S109" s="1213"/>
      <c r="T109" s="1213"/>
      <c r="U109" s="1213"/>
      <c r="V109" s="1213"/>
      <c r="W109" s="1213"/>
      <c r="X109" s="1213"/>
      <c r="Y109" s="1213"/>
      <c r="Z109" s="1213"/>
      <c r="AA109" s="1213"/>
      <c r="AB109" s="1213"/>
      <c r="AC109" s="1213"/>
      <c r="AD109" s="1213"/>
      <c r="AE109" s="1213"/>
      <c r="AF109" s="1213"/>
    </row>
    <row r="110" spans="1:33" s="1211" customFormat="1">
      <c r="A110" s="1210"/>
      <c r="B110" s="1210"/>
      <c r="F110" s="1212"/>
      <c r="G110" s="1212"/>
      <c r="H110" s="1212"/>
      <c r="I110" s="1212"/>
      <c r="J110" s="1212"/>
      <c r="K110" s="1212"/>
      <c r="L110" s="1213"/>
      <c r="M110" s="1213"/>
      <c r="N110" s="1213"/>
      <c r="O110" s="1213"/>
      <c r="P110" s="1213"/>
      <c r="Q110" s="1213"/>
      <c r="R110" s="1213"/>
      <c r="S110" s="1213"/>
      <c r="T110" s="1213"/>
      <c r="U110" s="1213"/>
      <c r="V110" s="1213"/>
      <c r="W110" s="1213"/>
      <c r="X110" s="1213"/>
      <c r="Y110" s="1213"/>
      <c r="Z110" s="1213"/>
      <c r="AA110" s="1213"/>
      <c r="AB110" s="1213"/>
      <c r="AC110" s="1213"/>
      <c r="AD110" s="1213"/>
      <c r="AE110" s="1213"/>
      <c r="AF110" s="1213"/>
    </row>
    <row r="111" spans="1:33" s="1211" customFormat="1">
      <c r="A111" s="1210"/>
      <c r="B111" s="1210"/>
      <c r="F111" s="1212"/>
      <c r="G111" s="1212"/>
      <c r="H111" s="1212"/>
      <c r="I111" s="1212"/>
      <c r="J111" s="1212"/>
      <c r="K111" s="1212"/>
      <c r="L111" s="1213"/>
      <c r="M111" s="1213"/>
      <c r="N111" s="1213"/>
      <c r="O111" s="1213"/>
      <c r="P111" s="1213"/>
      <c r="Q111" s="1213"/>
      <c r="R111" s="1213"/>
      <c r="S111" s="1213"/>
      <c r="T111" s="1213"/>
      <c r="U111" s="1213"/>
      <c r="V111" s="1213"/>
      <c r="W111" s="1213"/>
      <c r="X111" s="1213"/>
      <c r="Y111" s="1213"/>
      <c r="Z111" s="1213"/>
      <c r="AA111" s="1213"/>
      <c r="AB111" s="1213"/>
      <c r="AC111" s="1213"/>
      <c r="AD111" s="1213"/>
      <c r="AE111" s="1213"/>
      <c r="AF111" s="1213"/>
    </row>
    <row r="112" spans="1:33" s="1211" customFormat="1">
      <c r="A112" s="1210"/>
      <c r="B112" s="1210"/>
      <c r="F112" s="1212"/>
      <c r="G112" s="1212"/>
      <c r="H112" s="1212"/>
      <c r="I112" s="1212"/>
      <c r="J112" s="1212"/>
      <c r="K112" s="1212"/>
      <c r="L112" s="1213"/>
      <c r="M112" s="1213"/>
      <c r="N112" s="1213"/>
      <c r="O112" s="1213"/>
      <c r="P112" s="1213"/>
      <c r="Q112" s="1213"/>
      <c r="R112" s="1213"/>
      <c r="S112" s="1213"/>
      <c r="T112" s="1213"/>
      <c r="U112" s="1213"/>
      <c r="V112" s="1213"/>
      <c r="W112" s="1213"/>
      <c r="X112" s="1213"/>
      <c r="Y112" s="1213"/>
      <c r="Z112" s="1213"/>
      <c r="AA112" s="1213"/>
      <c r="AB112" s="1213"/>
      <c r="AC112" s="1213"/>
      <c r="AD112" s="1213"/>
      <c r="AE112" s="1213"/>
      <c r="AF112" s="1213"/>
    </row>
    <row r="113" spans="1:32" s="1211" customFormat="1">
      <c r="A113" s="1210"/>
      <c r="B113" s="1210"/>
      <c r="F113" s="1212"/>
      <c r="G113" s="1212"/>
      <c r="H113" s="1212"/>
      <c r="I113" s="1212"/>
      <c r="J113" s="1212"/>
      <c r="K113" s="1212"/>
      <c r="L113" s="1213"/>
      <c r="M113" s="1213"/>
      <c r="N113" s="1213"/>
      <c r="O113" s="1213"/>
      <c r="P113" s="1213"/>
      <c r="Q113" s="1213"/>
      <c r="R113" s="1213"/>
      <c r="S113" s="1213"/>
      <c r="T113" s="1213"/>
      <c r="U113" s="1213"/>
      <c r="V113" s="1213"/>
      <c r="W113" s="1213"/>
      <c r="X113" s="1213"/>
      <c r="Y113" s="1213"/>
      <c r="Z113" s="1213"/>
      <c r="AA113" s="1213"/>
      <c r="AB113" s="1213"/>
      <c r="AC113" s="1213"/>
      <c r="AD113" s="1213"/>
      <c r="AE113" s="1213"/>
      <c r="AF113" s="1213"/>
    </row>
    <row r="114" spans="1:32" s="1211" customFormat="1">
      <c r="A114" s="1210"/>
      <c r="B114" s="1210"/>
      <c r="F114" s="1212"/>
      <c r="G114" s="1212"/>
      <c r="H114" s="1212"/>
      <c r="I114" s="1212"/>
      <c r="J114" s="1212"/>
      <c r="K114" s="1212"/>
      <c r="L114" s="1213"/>
      <c r="M114" s="1213"/>
      <c r="N114" s="1213"/>
      <c r="O114" s="1213"/>
      <c r="P114" s="1213"/>
      <c r="Q114" s="1213"/>
      <c r="R114" s="1213"/>
      <c r="S114" s="1213"/>
      <c r="T114" s="1213"/>
      <c r="U114" s="1213"/>
      <c r="V114" s="1213"/>
      <c r="W114" s="1213"/>
      <c r="X114" s="1213"/>
      <c r="Y114" s="1213"/>
      <c r="Z114" s="1213"/>
      <c r="AA114" s="1213"/>
      <c r="AB114" s="1213"/>
      <c r="AC114" s="1213"/>
      <c r="AD114" s="1213"/>
      <c r="AE114" s="1213"/>
      <c r="AF114" s="1213"/>
    </row>
    <row r="115" spans="1:32" s="1211" customFormat="1">
      <c r="A115" s="1210"/>
      <c r="B115" s="1210"/>
      <c r="F115" s="1212"/>
      <c r="G115" s="1212"/>
      <c r="H115" s="1212"/>
      <c r="I115" s="1212"/>
      <c r="J115" s="1212"/>
      <c r="K115" s="1212"/>
      <c r="L115" s="1213"/>
      <c r="M115" s="1213"/>
      <c r="N115" s="1213"/>
      <c r="O115" s="1213"/>
      <c r="P115" s="1213"/>
      <c r="Q115" s="1213"/>
      <c r="R115" s="1213"/>
      <c r="S115" s="1213"/>
      <c r="T115" s="1213"/>
      <c r="U115" s="1213"/>
      <c r="V115" s="1213"/>
      <c r="W115" s="1213"/>
      <c r="X115" s="1213"/>
      <c r="Y115" s="1213"/>
      <c r="Z115" s="1213"/>
      <c r="AA115" s="1213"/>
      <c r="AB115" s="1213"/>
      <c r="AC115" s="1213"/>
      <c r="AD115" s="1213"/>
      <c r="AE115" s="1213"/>
      <c r="AF115" s="1213"/>
    </row>
    <row r="116" spans="1:32" s="1211" customFormat="1">
      <c r="A116" s="1210"/>
      <c r="B116" s="1210"/>
      <c r="F116" s="1212"/>
      <c r="G116" s="1212"/>
      <c r="H116" s="1212"/>
      <c r="I116" s="1212"/>
      <c r="J116" s="1212"/>
      <c r="K116" s="1212"/>
      <c r="L116" s="1213"/>
      <c r="M116" s="1213"/>
      <c r="N116" s="1213"/>
      <c r="O116" s="1213"/>
      <c r="P116" s="1213"/>
      <c r="Q116" s="1213"/>
      <c r="R116" s="1213"/>
      <c r="S116" s="1213"/>
      <c r="T116" s="1213"/>
      <c r="U116" s="1213"/>
      <c r="V116" s="1213"/>
      <c r="W116" s="1213"/>
      <c r="X116" s="1213"/>
      <c r="Y116" s="1213"/>
      <c r="Z116" s="1213"/>
      <c r="AA116" s="1213"/>
      <c r="AB116" s="1213"/>
      <c r="AC116" s="1213"/>
      <c r="AD116" s="1213"/>
      <c r="AE116" s="1213"/>
      <c r="AF116" s="1213"/>
    </row>
    <row r="117" spans="1:32" s="1211" customFormat="1">
      <c r="A117" s="1210"/>
      <c r="B117" s="1210"/>
      <c r="F117" s="1212"/>
      <c r="G117" s="1212"/>
      <c r="H117" s="1212"/>
      <c r="I117" s="1212"/>
      <c r="J117" s="1212"/>
      <c r="K117" s="1212"/>
      <c r="L117" s="1213"/>
      <c r="M117" s="1213"/>
      <c r="N117" s="1213"/>
      <c r="O117" s="1213"/>
      <c r="P117" s="1213"/>
      <c r="Q117" s="1213"/>
      <c r="R117" s="1213"/>
      <c r="S117" s="1213"/>
      <c r="T117" s="1213"/>
      <c r="U117" s="1213"/>
      <c r="V117" s="1213"/>
      <c r="W117" s="1213"/>
      <c r="X117" s="1213"/>
      <c r="Y117" s="1213"/>
      <c r="Z117" s="1213"/>
      <c r="AA117" s="1213"/>
      <c r="AB117" s="1213"/>
      <c r="AC117" s="1213"/>
      <c r="AD117" s="1213"/>
      <c r="AE117" s="1213"/>
      <c r="AF117" s="1213"/>
    </row>
    <row r="118" spans="1:32" s="1211" customFormat="1">
      <c r="A118" s="1210"/>
      <c r="B118" s="1210"/>
      <c r="F118" s="1212"/>
      <c r="G118" s="1212"/>
      <c r="H118" s="1212"/>
      <c r="I118" s="1212"/>
      <c r="J118" s="1212"/>
      <c r="K118" s="1212"/>
      <c r="L118" s="1213"/>
      <c r="M118" s="1213"/>
      <c r="N118" s="1213"/>
      <c r="O118" s="1213"/>
      <c r="P118" s="1213"/>
      <c r="Q118" s="1213"/>
      <c r="R118" s="1213"/>
      <c r="S118" s="1213"/>
      <c r="T118" s="1213"/>
      <c r="U118" s="1213"/>
      <c r="V118" s="1213"/>
      <c r="W118" s="1213"/>
      <c r="X118" s="1213"/>
      <c r="Y118" s="1213"/>
      <c r="Z118" s="1213"/>
      <c r="AA118" s="1213"/>
      <c r="AB118" s="1213"/>
      <c r="AC118" s="1213"/>
      <c r="AD118" s="1213"/>
      <c r="AE118" s="1213"/>
      <c r="AF118" s="1213"/>
    </row>
    <row r="121" spans="1:32">
      <c r="C121" s="550"/>
    </row>
    <row r="125" spans="1:32">
      <c r="C125" s="550"/>
    </row>
  </sheetData>
  <sheetProtection algorithmName="SHA-512" hashValue="kSD8V3fjKcqls9dhziDunyxKMnvQI1Bh2B0KA+PTL0jETfsrbyA7jganw25AUH8gjBThoVVMsJgbeEe0aaJmhQ==" saltValue="fibOiKX/O50Se1ddjETNoA==" spinCount="100000" sheet="1" objects="1" scenarios="1"/>
  <mergeCells count="7">
    <mergeCell ref="L14:N16"/>
    <mergeCell ref="B2:E2"/>
    <mergeCell ref="F7:H9"/>
    <mergeCell ref="L2:O2"/>
    <mergeCell ref="L6:O8"/>
    <mergeCell ref="L4:O5"/>
    <mergeCell ref="L9:O10"/>
  </mergeCells>
  <phoneticPr fontId="4" type="noConversion"/>
  <conditionalFormatting sqref="L2:O2">
    <cfRule type="expression" dxfId="87" priority="13" stopIfTrue="1">
      <formula>$L$2&lt;&gt;""</formula>
    </cfRule>
  </conditionalFormatting>
  <conditionalFormatting sqref="L6:O8">
    <cfRule type="expression" dxfId="86" priority="11" stopIfTrue="1">
      <formula>$L$4&lt;&gt;""</formula>
    </cfRule>
  </conditionalFormatting>
  <conditionalFormatting sqref="L9:O10">
    <cfRule type="expression" dxfId="85" priority="10" stopIfTrue="1">
      <formula>$L$4&lt;&gt;""</formula>
    </cfRule>
  </conditionalFormatting>
  <conditionalFormatting sqref="L4:O5">
    <cfRule type="expression" dxfId="84" priority="9">
      <formula>$L$4&lt;&gt;""</formula>
    </cfRule>
  </conditionalFormatting>
  <conditionalFormatting sqref="F3:G3">
    <cfRule type="containsText" dxfId="83" priority="8" operator="containsText" text="O.K.">
      <formula>NOT(ISERROR(SEARCH("O.K.",F3)))</formula>
    </cfRule>
  </conditionalFormatting>
  <conditionalFormatting sqref="C18">
    <cfRule type="containsText" dxfId="82" priority="7" operator="containsText" text="Máte súhlas z oddelenia vývoja">
      <formula>NOT(ISERROR(SEARCH("Máte súhlas z oddelenia vývoja",C18)))</formula>
    </cfRule>
  </conditionalFormatting>
  <conditionalFormatting sqref="F2">
    <cfRule type="containsText" dxfId="81" priority="6" operator="containsText" text="Máte súhlas z oddelenia vývoja produktov ŽP?">
      <formula>NOT(ISERROR(SEARCH("Máte súhlas z oddelenia vývoja produktov ŽP?",F2)))</formula>
    </cfRule>
  </conditionalFormatting>
  <conditionalFormatting sqref="I2:J2">
    <cfRule type="expression" dxfId="80" priority="1">
      <formula>$Q$2=1</formula>
    </cfRule>
  </conditionalFormatting>
  <dataValidations count="14">
    <dataValidation type="list" allowBlank="1" showInputMessage="1" showErrorMessage="1" sqref="C31" xr:uid="{00000000-0002-0000-0200-000000000000}">
      <formula1>"0,1,2,3"</formula1>
    </dataValidation>
    <dataValidation type="list" allowBlank="1" showInputMessage="1" showErrorMessage="1" sqref="C42" xr:uid="{00000000-0002-0000-0200-000001000000}">
      <formula1>"a, n"</formula1>
    </dataValidation>
    <dataValidation type="list" allowBlank="1" showInputMessage="1" showErrorMessage="1" sqref="C15" xr:uid="{00000000-0002-0000-0200-000002000000}">
      <formula1>"1,2,3,4"</formula1>
    </dataValidation>
    <dataValidation type="list" allowBlank="1" showInputMessage="1" showErrorMessage="1" sqref="C25" xr:uid="{00000000-0002-0000-0200-000003000000}">
      <formula1>"a,n"</formula1>
    </dataValidation>
    <dataValidation type="list" allowBlank="1" showInputMessage="1" showErrorMessage="1" sqref="C24" xr:uid="{00000000-0002-0000-0200-000004000000}">
      <formula1>$L$57:$L$109</formula1>
    </dataValidation>
    <dataValidation type="list" allowBlank="1" showInputMessage="1" showErrorMessage="1" sqref="C23" xr:uid="{00000000-0002-0000-0200-000005000000}">
      <formula1>$H$57:$H$76</formula1>
    </dataValidation>
    <dataValidation type="list" allowBlank="1" showInputMessage="1" showErrorMessage="1" sqref="C22" xr:uid="{00000000-0002-0000-0200-000006000000}">
      <formula1>$F$57:$F$80</formula1>
    </dataValidation>
    <dataValidation type="list" allowBlank="1" showInputMessage="1" showErrorMessage="1" sqref="C21" xr:uid="{00000000-0002-0000-0200-000007000000}">
      <formula1>$E$57:$E$64</formula1>
    </dataValidation>
    <dataValidation type="list" allowBlank="1" showInputMessage="1" showErrorMessage="1" sqref="C20" xr:uid="{00000000-0002-0000-0200-000008000000}">
      <formula1>$D$57:$D$91</formula1>
    </dataValidation>
    <dataValidation type="list" allowBlank="1" showInputMessage="1" showErrorMessage="1" sqref="C19" xr:uid="{00000000-0002-0000-0200-000009000000}">
      <formula1>$A$57:$A$107</formula1>
    </dataValidation>
    <dataValidation type="list" allowBlank="1" showInputMessage="1" showErrorMessage="1" sqref="C18" xr:uid="{00000000-0002-0000-0200-00000A000000}">
      <formula1>$C$57:$C$74</formula1>
    </dataValidation>
    <dataValidation type="list" allowBlank="1" showInputMessage="1" showErrorMessage="1" sqref="C17" xr:uid="{00000000-0002-0000-0200-00000B000000}">
      <formula1>$B$57:$B$107</formula1>
    </dataValidation>
    <dataValidation type="list" allowBlank="1" showInputMessage="1" showErrorMessage="1" sqref="C9" xr:uid="{00000000-0002-0000-0200-00000C000000}">
      <formula1>" elektronické avízo,poštová poukážka,bez avíza (trvalý príkaz)"</formula1>
    </dataValidation>
    <dataValidation type="list" allowBlank="1" showInputMessage="1" showErrorMessage="1" sqref="C8" xr:uid="{00000000-0002-0000-0200-00000D000000}">
      <formula1>"1,2,4,12"</formula1>
    </dataValidation>
  </dataValidations>
  <printOptions horizontalCentered="1"/>
  <pageMargins left="0.78740157480314965" right="0.78740157480314965" top="0.79" bottom="0.78740157480314965" header="0.47244094488188981" footer="0.23622047244094491"/>
  <pageSetup paperSize="9" scale="64"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27" r:id="rId4" name="Check Box 355">
              <controlPr locked="0" defaultSize="0" autoFill="0" autoLine="0" autoPict="0">
                <anchor moveWithCells="1">
                  <from>
                    <xdr:col>1</xdr:col>
                    <xdr:colOff>1988820</xdr:colOff>
                    <xdr:row>10</xdr:row>
                    <xdr:rowOff>7620</xdr:rowOff>
                  </from>
                  <to>
                    <xdr:col>1</xdr:col>
                    <xdr:colOff>2293620</xdr:colOff>
                    <xdr:row>10</xdr:row>
                    <xdr:rowOff>236220</xdr:rowOff>
                  </to>
                </anchor>
              </controlPr>
            </control>
          </mc:Choice>
        </mc:AlternateContent>
        <mc:AlternateContent xmlns:mc="http://schemas.openxmlformats.org/markup-compatibility/2006">
          <mc:Choice Requires="x14">
            <control shapeId="3432" r:id="rId5" name="Check Box 360">
              <controlPr defaultSize="0" autoFill="0" autoLine="0" autoPict="0">
                <anchor moveWithCells="1">
                  <from>
                    <xdr:col>2</xdr:col>
                    <xdr:colOff>83820</xdr:colOff>
                    <xdr:row>31</xdr:row>
                    <xdr:rowOff>7620</xdr:rowOff>
                  </from>
                  <to>
                    <xdr:col>2</xdr:col>
                    <xdr:colOff>1143000</xdr:colOff>
                    <xdr:row>31</xdr:row>
                    <xdr:rowOff>236220</xdr:rowOff>
                  </to>
                </anchor>
              </controlPr>
            </control>
          </mc:Choice>
        </mc:AlternateContent>
        <mc:AlternateContent xmlns:mc="http://schemas.openxmlformats.org/markup-compatibility/2006">
          <mc:Choice Requires="x14">
            <control shapeId="3433" r:id="rId6" name="Check Box 361">
              <controlPr defaultSize="0" autoFill="0" autoLine="0" autoPict="0">
                <anchor moveWithCells="1">
                  <from>
                    <xdr:col>3</xdr:col>
                    <xdr:colOff>38100</xdr:colOff>
                    <xdr:row>30</xdr:row>
                    <xdr:rowOff>175260</xdr:rowOff>
                  </from>
                  <to>
                    <xdr:col>3</xdr:col>
                    <xdr:colOff>1173480</xdr:colOff>
                    <xdr:row>32</xdr:row>
                    <xdr:rowOff>7620</xdr:rowOff>
                  </to>
                </anchor>
              </controlPr>
            </control>
          </mc:Choice>
        </mc:AlternateContent>
        <mc:AlternateContent xmlns:mc="http://schemas.openxmlformats.org/markup-compatibility/2006">
          <mc:Choice Requires="x14">
            <control shapeId="3434" r:id="rId7" name="Check Box 362">
              <controlPr defaultSize="0" autoFill="0" autoLine="0" autoPict="0">
                <anchor moveWithCells="1">
                  <from>
                    <xdr:col>4</xdr:col>
                    <xdr:colOff>83820</xdr:colOff>
                    <xdr:row>31</xdr:row>
                    <xdr:rowOff>7620</xdr:rowOff>
                  </from>
                  <to>
                    <xdr:col>4</xdr:col>
                    <xdr:colOff>1036320</xdr:colOff>
                    <xdr:row>31</xdr:row>
                    <xdr:rowOff>228600</xdr:rowOff>
                  </to>
                </anchor>
              </controlPr>
            </control>
          </mc:Choice>
        </mc:AlternateContent>
        <mc:AlternateContent xmlns:mc="http://schemas.openxmlformats.org/markup-compatibility/2006">
          <mc:Choice Requires="x14">
            <control shapeId="3682" r:id="rId8" name="Check Box 610">
              <controlPr locked="0" defaultSize="0" print="0" autoFill="0" autoLine="0" autoPict="0">
                <anchor>
                  <from>
                    <xdr:col>10</xdr:col>
                    <xdr:colOff>60960</xdr:colOff>
                    <xdr:row>1</xdr:row>
                    <xdr:rowOff>68580</xdr:rowOff>
                  </from>
                  <to>
                    <xdr:col>12</xdr:col>
                    <xdr:colOff>274320</xdr:colOff>
                    <xdr:row>1</xdr:row>
                    <xdr:rowOff>800100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0"/>
  </sheetPr>
  <dimension ref="A1:G36"/>
  <sheetViews>
    <sheetView topLeftCell="A8" zoomScale="90" zoomScaleNormal="90" workbookViewId="0">
      <selection activeCell="E18" sqref="E18"/>
    </sheetView>
  </sheetViews>
  <sheetFormatPr defaultColWidth="9.109375" defaultRowHeight="13.2"/>
  <cols>
    <col min="1" max="1" width="2.88671875" style="88" customWidth="1"/>
    <col min="2" max="2" width="9.109375" style="88"/>
    <col min="3" max="3" width="16" style="88" customWidth="1"/>
    <col min="4" max="4" width="46" style="88" customWidth="1"/>
    <col min="5" max="5" width="19.5546875" style="88" customWidth="1"/>
    <col min="6" max="6" width="20.5546875" style="229" customWidth="1"/>
    <col min="7" max="7" width="9.109375" style="88"/>
    <col min="8" max="8" width="11" style="88" customWidth="1"/>
    <col min="9" max="16384" width="9.109375" style="88"/>
  </cols>
  <sheetData>
    <row r="1" spans="1:7" ht="17.399999999999999">
      <c r="A1" s="12"/>
      <c r="B1" s="12"/>
      <c r="D1" s="1342" t="s">
        <v>6</v>
      </c>
      <c r="E1" s="1342"/>
      <c r="F1" s="83"/>
      <c r="G1" s="14"/>
    </row>
    <row r="2" spans="1:7" ht="18.75" customHeight="1">
      <c r="A2" s="13"/>
      <c r="B2" s="13"/>
      <c r="D2" s="1343" t="s">
        <v>659</v>
      </c>
      <c r="E2" s="1343"/>
      <c r="F2" s="83"/>
      <c r="G2" s="14"/>
    </row>
    <row r="3" spans="1:7" ht="19.5" customHeight="1">
      <c r="A3" s="15"/>
      <c r="B3" s="15"/>
      <c r="D3" s="1344" t="str">
        <f>Poistné!B2</f>
        <v xml:space="preserve">Individuálne úrazové poistenie                                                                                UNION ISTOTA </v>
      </c>
      <c r="E3" s="1344"/>
      <c r="F3" s="84"/>
      <c r="G3" s="14"/>
    </row>
    <row r="4" spans="1:7" ht="32.25" customHeight="1">
      <c r="A4" s="13"/>
      <c r="B4" s="16"/>
      <c r="C4" s="22"/>
      <c r="D4" s="1344"/>
      <c r="E4" s="1344"/>
      <c r="F4" s="84"/>
      <c r="G4" s="14"/>
    </row>
    <row r="5" spans="1:7" ht="9" customHeight="1">
      <c r="A5" s="13"/>
      <c r="B5" s="13"/>
      <c r="C5" s="13"/>
      <c r="D5" s="13"/>
      <c r="E5" s="13"/>
      <c r="F5" s="85"/>
      <c r="G5" s="14"/>
    </row>
    <row r="6" spans="1:7" ht="54" customHeight="1">
      <c r="A6" s="14"/>
      <c r="B6" s="1341" t="s">
        <v>616</v>
      </c>
      <c r="C6" s="1341"/>
      <c r="D6" s="1341"/>
      <c r="E6" s="1341"/>
      <c r="F6" s="1341"/>
      <c r="G6" s="14"/>
    </row>
    <row r="7" spans="1:7" ht="15" customHeight="1">
      <c r="A7" s="14"/>
      <c r="B7" s="1340"/>
      <c r="C7" s="1340"/>
      <c r="D7" s="1340"/>
      <c r="E7" s="1340"/>
      <c r="F7" s="84"/>
      <c r="G7" s="14"/>
    </row>
    <row r="8" spans="1:7" ht="13.8">
      <c r="A8" s="17"/>
      <c r="B8" s="18" t="s">
        <v>7</v>
      </c>
      <c r="C8" s="18"/>
      <c r="D8" s="17"/>
      <c r="E8" s="17"/>
      <c r="F8" s="86"/>
      <c r="G8" s="17"/>
    </row>
    <row r="9" spans="1:7" ht="15">
      <c r="A9" s="14"/>
      <c r="B9" s="17" t="s">
        <v>8</v>
      </c>
      <c r="C9" s="17"/>
      <c r="D9" s="17"/>
      <c r="E9" s="20" t="str">
        <f ca="1">IF(test="O.K.",IF(dospely=TRUE,CONCATENATE(x," ",Poistné!D14),""),"?")</f>
        <v>42 rokov</v>
      </c>
      <c r="F9" s="84"/>
      <c r="G9" s="14"/>
    </row>
    <row r="10" spans="1:7" ht="15">
      <c r="A10" s="14"/>
      <c r="B10" s="17" t="s">
        <v>9</v>
      </c>
      <c r="C10" s="17"/>
      <c r="D10" s="17"/>
      <c r="E10" s="20" t="str">
        <f ca="1">IF(test="O.K.",IF(dospely=TRUE,CONCATENATE(n," ",Poistné!D6),IF(AND(NOT(dospely),OR(Bronze_D,Silver_D,Gold_D)),CONCATENATE("do veku 15 rokov",IF(pocetdeti=1,""," najmladšieho")," dieťaťa"),"?")),"?")</f>
        <v>5 rokov</v>
      </c>
      <c r="F10" s="84"/>
      <c r="G10" s="14"/>
    </row>
    <row r="11" spans="1:7" ht="15">
      <c r="A11" s="14"/>
      <c r="B11" s="17" t="s">
        <v>27</v>
      </c>
      <c r="C11" s="17"/>
      <c r="D11" s="17"/>
      <c r="E11" s="19">
        <f ca="1">IF(test="O.K.",IF(dospely=TRUE,rs,""),"?")</f>
        <v>1</v>
      </c>
      <c r="F11" s="84"/>
      <c r="G11" s="14"/>
    </row>
    <row r="12" spans="1:7" ht="15">
      <c r="A12" s="14"/>
      <c r="B12" s="17"/>
      <c r="C12" s="17"/>
      <c r="D12" s="17"/>
      <c r="E12" s="21"/>
      <c r="F12" s="84"/>
      <c r="G12" s="14"/>
    </row>
    <row r="13" spans="1:7" ht="15.6">
      <c r="A13" s="14"/>
      <c r="B13" s="18" t="s">
        <v>29</v>
      </c>
      <c r="C13" s="17"/>
      <c r="D13" s="17"/>
      <c r="E13" s="43" t="str">
        <f ca="1">IF(test="O.K.",IF(dospely=TRUE,"","nie je"),"")</f>
        <v/>
      </c>
      <c r="F13" s="84"/>
      <c r="G13" s="14"/>
    </row>
    <row r="14" spans="1:7" ht="15" customHeight="1">
      <c r="A14" s="14"/>
      <c r="B14" s="18" t="s">
        <v>28</v>
      </c>
      <c r="C14" s="17"/>
      <c r="D14" s="17"/>
      <c r="E14" s="1003" t="s">
        <v>877</v>
      </c>
      <c r="F14" s="1002"/>
      <c r="G14" s="14"/>
    </row>
    <row r="15" spans="1:7" ht="22.5" customHeight="1">
      <c r="A15" s="14"/>
      <c r="B15" s="17" t="s">
        <v>606</v>
      </c>
      <c r="C15" s="17"/>
      <c r="D15" s="17"/>
      <c r="E15" s="243">
        <f ca="1">IF(test="O.K.",IF(dospely=TRUE,tnu,0),"?")</f>
        <v>9000</v>
      </c>
      <c r="F15" s="86"/>
      <c r="G15" s="14"/>
    </row>
    <row r="16" spans="1:7" ht="15">
      <c r="A16" s="14"/>
      <c r="B16" s="17" t="s">
        <v>617</v>
      </c>
      <c r="C16" s="17"/>
      <c r="D16" s="17"/>
      <c r="E16" s="243">
        <f ca="1">IF(test="O.K.",IF(dospely=TRUE,_tnu450,0),"?")</f>
        <v>0</v>
      </c>
      <c r="F16" s="86"/>
      <c r="G16" s="14"/>
    </row>
    <row r="17" spans="1:7" ht="15">
      <c r="A17" s="14"/>
      <c r="B17" s="17" t="s">
        <v>11</v>
      </c>
      <c r="C17" s="17"/>
      <c r="D17" s="17"/>
      <c r="E17" s="243">
        <f ca="1">IF(test="O.K.",IF(dospely=TRUE,su,0),"?")</f>
        <v>9000</v>
      </c>
      <c r="F17" s="86"/>
      <c r="G17" s="14"/>
    </row>
    <row r="18" spans="1:7" ht="15">
      <c r="A18" s="14"/>
      <c r="B18" s="17" t="s">
        <v>644</v>
      </c>
      <c r="C18" s="17"/>
      <c r="D18" s="17"/>
      <c r="E18" s="243">
        <f ca="1">IF(test="O.K.",IF(dospely=TRUE,do,0),"?")</f>
        <v>0</v>
      </c>
      <c r="F18" s="86"/>
      <c r="G18" s="14"/>
    </row>
    <row r="19" spans="1:7" ht="15">
      <c r="A19" s="14"/>
      <c r="B19" s="17" t="s">
        <v>37</v>
      </c>
      <c r="C19" s="17"/>
      <c r="D19" s="17"/>
      <c r="E19" s="243">
        <f ca="1">IF(test="O.K.",IF(dospely=TRUE,cnl,0),"?")</f>
        <v>0</v>
      </c>
      <c r="F19" s="86"/>
      <c r="G19" s="14"/>
    </row>
    <row r="20" spans="1:7" ht="15">
      <c r="A20" s="14"/>
      <c r="B20" s="17" t="s">
        <v>38</v>
      </c>
      <c r="C20" s="17"/>
      <c r="D20" s="17"/>
      <c r="E20" s="243">
        <f ca="1">IF(test="O.K.",IF(dospely=TRUE,dn,0),"?")</f>
        <v>0</v>
      </c>
      <c r="F20" s="86"/>
      <c r="G20" s="14"/>
    </row>
    <row r="21" spans="1:7" ht="15">
      <c r="A21" s="14"/>
      <c r="B21" s="17" t="s">
        <v>12</v>
      </c>
      <c r="C21" s="17"/>
      <c r="D21" s="17"/>
      <c r="E21" s="243">
        <f ca="1">IF(test="O.K.",IF(dospely=TRUE,mo,0),"?")</f>
        <v>0</v>
      </c>
      <c r="F21" s="86"/>
      <c r="G21" s="14"/>
    </row>
    <row r="22" spans="1:7" ht="15">
      <c r="A22" s="14"/>
      <c r="B22" s="17" t="s">
        <v>604</v>
      </c>
      <c r="C22" s="17"/>
      <c r="D22" s="17"/>
      <c r="E22" s="243">
        <f ca="1">IF(test="O.K.",IF(dospely=TRUE,kch,0),"?")</f>
        <v>0</v>
      </c>
      <c r="F22" s="86"/>
      <c r="G22" s="14"/>
    </row>
    <row r="23" spans="1:7" ht="15">
      <c r="A23" s="14"/>
      <c r="B23" s="17" t="s">
        <v>605</v>
      </c>
      <c r="C23" s="17"/>
      <c r="D23" s="17"/>
      <c r="E23" s="226" t="str">
        <f ca="1">IF(test="O.K.",IF(AND(dospely=TRUE,b="a"),"áno",IF(AND(dospely=TRUE,b="n"),"nie","")),"?")</f>
        <v>nie</v>
      </c>
      <c r="F23" s="86"/>
      <c r="G23" s="14"/>
    </row>
    <row r="24" spans="1:7" ht="28.5" customHeight="1">
      <c r="A24" s="14"/>
      <c r="B24" s="17" t="str">
        <f>CONCATENATE(IF(t=1,"Ročné ",IF(t=2,"Polročné ",IF(t=4,"Štvrťročné ",IF(t=12,"Mesačné ","?")))),"poistné za dojednané poistné krytie pre dospelého")</f>
        <v>Polročné poistné za dojednané poistné krytie pre dospelého</v>
      </c>
      <c r="C24" s="17"/>
      <c r="D24" s="17"/>
      <c r="E24" s="226">
        <f ca="1">IF(test="O.K.",IF(dospely=TRUE,Poistné!D26,0),"?")</f>
        <v>21.18</v>
      </c>
      <c r="F24" s="86"/>
      <c r="G24" s="14"/>
    </row>
    <row r="25" spans="1:7" ht="30" customHeight="1">
      <c r="A25" s="14"/>
      <c r="B25" s="17"/>
      <c r="C25" s="17"/>
      <c r="D25" s="17"/>
      <c r="E25" s="21"/>
      <c r="F25" s="86"/>
      <c r="G25" s="14"/>
    </row>
    <row r="26" spans="1:7" ht="15.6">
      <c r="A26" s="14"/>
      <c r="B26" s="18" t="s">
        <v>73</v>
      </c>
      <c r="C26" s="17"/>
      <c r="D26" s="17"/>
      <c r="E26" s="227" t="str">
        <f ca="1">IF(test="O.K.",IF(Bronze_D,"Balík BRONZ",IF(Silver_D,"Balík STRIEBRO",IF(Gold_D,"Balík ZLATO","nie je"))),"?")</f>
        <v>nie je</v>
      </c>
      <c r="F26" s="86"/>
      <c r="G26" s="14"/>
    </row>
    <row r="27" spans="1:7" ht="19.5" customHeight="1">
      <c r="A27" s="14"/>
      <c r="B27" s="17" t="s">
        <v>35</v>
      </c>
      <c r="C27" s="17"/>
      <c r="D27" s="17"/>
      <c r="E27" s="228">
        <f ca="1">IF(test="O.K.",pocetdeti,"?")</f>
        <v>0</v>
      </c>
      <c r="F27" s="86"/>
      <c r="G27" s="14"/>
    </row>
    <row r="28" spans="1:7" ht="38.25" customHeight="1">
      <c r="A28" s="14"/>
      <c r="B28" s="18" t="s">
        <v>28</v>
      </c>
      <c r="C28" s="17"/>
      <c r="D28" s="17"/>
      <c r="E28" s="1003" t="s">
        <v>877</v>
      </c>
      <c r="F28" s="1002"/>
      <c r="G28" s="14"/>
    </row>
    <row r="29" spans="1:7" ht="16.5" customHeight="1">
      <c r="A29" s="14"/>
      <c r="B29" s="17" t="s">
        <v>617</v>
      </c>
      <c r="C29" s="17"/>
      <c r="D29" s="17"/>
      <c r="E29" s="243">
        <f ca="1">IF(test="O.K.",IF(Bronze_D,Poistné!C34,IF(Silver_D,Poistné!D34,IF(Gold_D,Poistné!E34,0))),"?")</f>
        <v>0</v>
      </c>
      <c r="F29" s="86"/>
      <c r="G29" s="14"/>
    </row>
    <row r="30" spans="1:7" ht="18" customHeight="1">
      <c r="A30" s="14"/>
      <c r="B30" s="17" t="s">
        <v>11</v>
      </c>
      <c r="C30" s="17"/>
      <c r="D30" s="17"/>
      <c r="E30" s="243">
        <f ca="1">IF(test="O.K.",IF(Bronze_D,Poistné!C35,IF(Silver_D,Poistné!D35,IF(Gold_D,Poistné!E35,0))),"?")</f>
        <v>0</v>
      </c>
      <c r="F30" s="86"/>
      <c r="G30" s="14"/>
    </row>
    <row r="31" spans="1:7" ht="15">
      <c r="A31" s="14"/>
      <c r="B31" s="17" t="s">
        <v>37</v>
      </c>
      <c r="C31" s="17"/>
      <c r="D31" s="17"/>
      <c r="E31" s="243">
        <f ca="1">IF(test="O.K.",IF(Bronze_D,Poistné!C36,IF(Silver_D,Poistné!D36,IF(Gold_D,Poistné!E36,0))),"?")</f>
        <v>0</v>
      </c>
      <c r="F31" s="86"/>
      <c r="G31" s="14"/>
    </row>
    <row r="32" spans="1:7" ht="27.75" customHeight="1">
      <c r="A32" s="14"/>
      <c r="B32" s="17" t="str">
        <f>CONCATENATE(IF(t=1,"Ročné ",IF(t=2,"Polročné ",IF(t=4,"Štvrťročné ",IF(t=12,"Mesačné ","?")))),"poistné za dojednané poistné krytie pre deti")</f>
        <v>Polročné poistné za dojednané poistné krytie pre deti</v>
      </c>
      <c r="C32" s="17"/>
      <c r="D32" s="17"/>
      <c r="E32" s="226">
        <f ca="1">IF(test="O.K.",Poistné!D37,"?")</f>
        <v>0</v>
      </c>
      <c r="F32" s="86"/>
      <c r="G32" s="14"/>
    </row>
    <row r="33" spans="1:7" ht="30" customHeight="1">
      <c r="A33" s="14"/>
      <c r="B33" s="598" t="str">
        <f>CONCATENATE("CELKOVÉ ",IF(t=1,"ROČNÉ ",IF(t=2,"POLROČNÉ ",IF(t=4,"ŠTVRŤROČNÉ ",IF(t=12,"MESAČNÉ ","?")))),"POISTNÉ")</f>
        <v>CELKOVÉ POLROČNÉ POISTNÉ</v>
      </c>
      <c r="C33" s="599"/>
      <c r="D33" s="599"/>
      <c r="E33" s="600">
        <f ca="1">IF(test="O.K.",Poistné!D39,"?")</f>
        <v>21.18</v>
      </c>
      <c r="F33" s="601"/>
      <c r="G33" s="14"/>
    </row>
    <row r="34" spans="1:7" s="17" customFormat="1" ht="15.6">
      <c r="B34" s="17" t="str">
        <f ca="1">IF(AND(Poistné!C42="a",test="O.K."),CONCATENATE("CELKOVÉ ",IF(t=1,"ROČNÉ ",IF(t=2,"POLROČNÉ ",IF(t=4,"ŠTVRŤROČNÉ ",IF(t=12,"MESAČNÉ ","?")))),"POISTNÉ PO ZĽAVE"),"")</f>
        <v>CELKOVÉ POLROČNÉ POISTNÉ PO ZĽAVE</v>
      </c>
      <c r="E34" s="630">
        <f ca="1">IF(AND(test="O.K.",Poistné!C42="a"),Poistné!D46,"")</f>
        <v>19.059999999999999</v>
      </c>
      <c r="F34" s="84"/>
    </row>
    <row r="35" spans="1:7" ht="45.75" customHeight="1">
      <c r="A35" s="14"/>
      <c r="B35" s="1340" t="s">
        <v>10</v>
      </c>
      <c r="C35" s="1340"/>
      <c r="D35" s="1340"/>
      <c r="E35" s="1340"/>
      <c r="F35" s="84"/>
      <c r="G35" s="14"/>
    </row>
    <row r="36" spans="1:7" ht="15">
      <c r="A36" s="14"/>
      <c r="B36" s="14"/>
      <c r="C36" s="14"/>
      <c r="D36" s="14"/>
      <c r="E36" s="14"/>
      <c r="F36" s="84"/>
      <c r="G36" s="14"/>
    </row>
  </sheetData>
  <sheetProtection algorithmName="SHA-512" hashValue="pXvTzdvONLk8wOisxXNw0IPD8PsU9U3b5jc1BAQ5ZuhCbN3qJ3kQobwJVLg44U4t5lpiavgbrNE+R2ZiztWToA==" saltValue="0moVC+DSD0w/b9wca31gZQ==" spinCount="100000" sheet="1" objects="1" scenarios="1"/>
  <mergeCells count="6">
    <mergeCell ref="B35:E35"/>
    <mergeCell ref="B6:F6"/>
    <mergeCell ref="D1:E1"/>
    <mergeCell ref="D2:E2"/>
    <mergeCell ref="D3:E4"/>
    <mergeCell ref="B7:E7"/>
  </mergeCells>
  <phoneticPr fontId="0" type="noConversion"/>
  <printOptions horizontalCentered="1"/>
  <pageMargins left="0.62" right="0.39" top="0.74" bottom="0.78740157480314965" header="0.51" footer="0"/>
  <pageSetup paperSize="9" scale="82" orientation="portrait" r:id="rId1"/>
  <headerFooter alignWithMargins="0">
    <oddFooter>&amp;L&amp;"Times New Roman,Tučné"&amp;10 1+110+01+99+0218</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1">
    <tabColor rgb="FFC00000"/>
  </sheetPr>
  <dimension ref="A1:R93"/>
  <sheetViews>
    <sheetView zoomScale="90" zoomScaleNormal="90" workbookViewId="0">
      <pane ySplit="4" topLeftCell="A5" activePane="bottomLeft" state="frozen"/>
      <selection pane="bottomLeft" activeCell="G17" sqref="G17"/>
    </sheetView>
  </sheetViews>
  <sheetFormatPr defaultColWidth="9.109375" defaultRowHeight="13.2"/>
  <cols>
    <col min="1" max="1" width="19.88671875" style="631" customWidth="1"/>
    <col min="2" max="2" width="29.6640625" style="631" customWidth="1"/>
    <col min="3" max="3" width="13.6640625" style="631" customWidth="1"/>
    <col min="4" max="4" width="14.6640625" style="631" customWidth="1"/>
    <col min="5" max="5" width="28.44140625" style="631" customWidth="1"/>
    <col min="6" max="6" width="23" style="631" customWidth="1"/>
    <col min="7" max="7" width="20.88671875" style="651" customWidth="1"/>
    <col min="8" max="8" width="9.6640625" style="683" customWidth="1"/>
    <col min="9" max="9" width="28.88671875" style="631" hidden="1" customWidth="1"/>
    <col min="10" max="11" width="12.6640625" style="631" hidden="1" customWidth="1"/>
    <col min="12" max="12" width="9.6640625" style="631" hidden="1" customWidth="1"/>
    <col min="13" max="13" width="13.6640625" style="631" hidden="1" customWidth="1"/>
    <col min="14" max="14" width="11" style="631" hidden="1" customWidth="1"/>
    <col min="15" max="16" width="11.44140625" style="631" hidden="1" customWidth="1"/>
    <col min="17" max="27" width="9.109375" style="631" customWidth="1"/>
    <col min="28" max="16384" width="9.109375" style="631"/>
  </cols>
  <sheetData>
    <row r="1" spans="1:18" ht="2.25" customHeight="1"/>
    <row r="2" spans="1:18" ht="15" customHeight="1">
      <c r="C2" s="1369"/>
      <c r="D2" s="1369"/>
      <c r="E2" s="1034" t="str">
        <f ca="1">IF(OR(AND(dospely=TRUE,SUM(COUNTBLANK(E6:E8),COUNTBLANK(E10:E14),COUNTBLANK(E19:E25),COUNTBLANK(E27:E41),COUNTBLANK(E44:E49),COUNTBLANK(F53),COUNTBLANK(E56:E57),COUNTBLANK(G60:G63),COUNTBLANK(F67:F69))&lt;46),AND(dospely=FALSE,SUM(COUNTBLANK(E6:E8),COUNTBLANK(E10:E14),COUNTBLANK(E19:E25),COUNTBLANK(E27:E41),COUNTBLANK(E44:E49),COUNTBLANK(F53),COUNTBLANK(E56:E57),COUNTBLANK(G60:G63),COUNTBLANK(F67:F69))&lt;45)),"CHYBA!",IF(test&lt;&gt;"O.K.","V sheete (hárku) poistné nie sú vyplnené všetky údaje správne!","O.K."))</f>
        <v>CHYBA!</v>
      </c>
    </row>
    <row r="3" spans="1:18" ht="23.25" customHeight="1">
      <c r="A3" s="1035"/>
      <c r="C3" s="1370"/>
      <c r="D3" s="1370"/>
      <c r="E3" s="1032"/>
      <c r="F3" s="1371"/>
      <c r="G3" s="1371"/>
      <c r="H3" s="1371"/>
      <c r="I3" s="1371"/>
      <c r="J3" s="1371"/>
      <c r="K3" s="1371"/>
      <c r="L3" s="1371"/>
      <c r="M3" s="1371"/>
      <c r="N3" s="1371"/>
      <c r="O3" s="1371"/>
      <c r="P3" s="1371"/>
      <c r="Q3" s="1371"/>
      <c r="R3" s="1371"/>
    </row>
    <row r="4" spans="1:18" ht="10.5" customHeight="1">
      <c r="E4" s="1248" t="s">
        <v>722</v>
      </c>
      <c r="F4" s="1249" t="s">
        <v>936</v>
      </c>
    </row>
    <row r="5" spans="1:18">
      <c r="C5" s="646" t="s">
        <v>702</v>
      </c>
      <c r="D5" s="647"/>
    </row>
    <row r="6" spans="1:18">
      <c r="B6" s="632" t="s">
        <v>686</v>
      </c>
      <c r="C6" s="1373"/>
      <c r="D6" s="1374"/>
      <c r="E6" s="644" t="str">
        <f>IF(C6="","Údaj je povinné vyplniť!",IF(OR(VALUE(C6)&lt;83209001,VALUE(C6)&gt;83211000),"Číslo návrhu nie je z prideleného číselného radu!",""))</f>
        <v>Údaj je povinné vyplniť!</v>
      </c>
    </row>
    <row r="7" spans="1:18">
      <c r="B7" s="632" t="s">
        <v>687</v>
      </c>
      <c r="C7" s="1373"/>
      <c r="D7" s="1374"/>
      <c r="E7" s="644" t="str">
        <f>IF(C7="","Údaj je povinné vyplniť!","")</f>
        <v>Údaj je povinné vyplniť!</v>
      </c>
    </row>
    <row r="8" spans="1:18" ht="1.5" customHeight="1"/>
    <row r="9" spans="1:18" ht="15.6" customHeight="1">
      <c r="B9" s="653" t="s">
        <v>689</v>
      </c>
      <c r="E9" s="656" t="str">
        <f>IF($C$7="áno","AK JE POISTNÍK SÚČASNE POISTENÝ, UVEĎTE JEHO OSOBNÉ ÚDAJE LEN V ČASTI 1. POISTNÍK!","")</f>
        <v/>
      </c>
    </row>
    <row r="10" spans="1:18">
      <c r="B10" s="632" t="s">
        <v>40</v>
      </c>
      <c r="C10" s="1375"/>
      <c r="D10" s="1375"/>
      <c r="E10" s="644" t="str">
        <f>IF(C10="","Údaj je povinné vyplniť!","")</f>
        <v>Údaj je povinné vyplniť!</v>
      </c>
    </row>
    <row r="11" spans="1:18" ht="13.8" thickBot="1">
      <c r="B11" s="632" t="s">
        <v>41</v>
      </c>
      <c r="C11" s="1375"/>
      <c r="D11" s="1375"/>
      <c r="E11" s="644" t="str">
        <f>IF(AND(C11="",OR($C$8="",$C$8="nie")),"Údaj je povinné vyplniť!","")</f>
        <v>Údaj je povinné vyplniť!</v>
      </c>
    </row>
    <row r="12" spans="1:18">
      <c r="B12" s="632" t="s">
        <v>690</v>
      </c>
      <c r="C12" s="1380"/>
      <c r="D12" s="1380"/>
      <c r="E12" s="644"/>
      <c r="I12" s="633" t="s">
        <v>698</v>
      </c>
      <c r="J12" s="635" t="s">
        <v>700</v>
      </c>
      <c r="K12" s="636" t="s">
        <v>701</v>
      </c>
    </row>
    <row r="13" spans="1:18" ht="13.8" thickBot="1">
      <c r="B13" s="632" t="s">
        <v>42</v>
      </c>
      <c r="C13" s="1016"/>
      <c r="D13" s="1017"/>
      <c r="E13" s="644" t="str">
        <f>IF(OR(C13=""),"Údaj je povinné vyplniť!",IF(C8="áno",IF(LEN(C13)&lt;&gt;8,"IČO musí obsahovať 8 znakov, v prípade kratšieho pridajte na začiatok nuly!",IF(D13&lt;&gt;"","Políčko vedľa IČO nevypĺňať!","")),IF(AND($C$7="áno",$I$19&lt;&gt;"OK"),$I$19&amp;" "&amp;IF(ISERR($I$20),"",$I$20),IF(AND(LEFT($C$7,3)="nie",$I$15&lt;&gt;"OK"),$I$15&amp;" "&amp;IF(ISERR($I$16),"",$I$16),""))))</f>
        <v>Údaj je povinné vyplniť!</v>
      </c>
      <c r="H13" s="660" t="str">
        <f>IF(OR($C$13="",$C$8="áno"),"",IF(ABS(VALUE(MID($C$13,3,1))-5.5)=0.5,"žena",IF(VALUE(MID($C$13,3,1))&lt;2,"muž","???")))</f>
        <v/>
      </c>
      <c r="I13" s="634" t="s">
        <v>699</v>
      </c>
      <c r="J13" s="1004">
        <f>$C$13</f>
        <v>0</v>
      </c>
      <c r="K13" s="638">
        <f>$D$13</f>
        <v>0</v>
      </c>
    </row>
    <row r="14" spans="1:18" ht="13.8" thickBot="1">
      <c r="B14" s="632" t="s">
        <v>719</v>
      </c>
      <c r="C14" s="1347" t="str">
        <f>$H$13</f>
        <v/>
      </c>
      <c r="D14" s="1348"/>
      <c r="E14" s="644"/>
      <c r="I14" s="657"/>
      <c r="J14" s="658"/>
      <c r="K14" s="659"/>
    </row>
    <row r="15" spans="1:18">
      <c r="B15" s="645"/>
      <c r="C15" s="1381" t="s">
        <v>691</v>
      </c>
      <c r="D15" s="1381"/>
      <c r="E15" s="648" t="s">
        <v>692</v>
      </c>
      <c r="I15" s="649" t="str">
        <f>IF(LEN(J13)&lt;&gt;6,"Prvá časť RČ musí obsahovať 6 číslic !",IF(OR(VALUE(J13)&gt;540000,VALUE(J13)&lt;10000*(YEAR(RCD)-1999)),IF(LEN(K13)=4,IF(MOD(J13+VALUE(K13),11)=0,IF(I16="","OK","Zlé rodné číslo !"),"Chyba v rodnom čísle !"),"Druhá časť RČ musí obsahovať 4 číslice !"),IF(LEN(K13)=3,IF(I16="","OK","Zlé rodné číslo !"),"Druhá časť RČ musí obsahovať 3 čísla !")))</f>
        <v>Prvá časť RČ musí obsahovať 6 číslic !</v>
      </c>
      <c r="J15" s="639"/>
      <c r="K15" s="640"/>
    </row>
    <row r="16" spans="1:18" ht="13.8" thickBot="1">
      <c r="B16" s="632" t="s">
        <v>693</v>
      </c>
      <c r="C16" s="1373"/>
      <c r="D16" s="1374"/>
      <c r="E16" s="1042"/>
      <c r="I16" s="641" t="e">
        <f>IF(MOD(VALUE(MID(J13,3,2))-1,50)&gt;11,"zle uvedený mesiac !",IF(OR(VALUE(RIGHT(J13,2))&gt;31,AND(OR(MOD(VALUE(MID(J13,3,2)),50)=4,MOD(VALUE(MID(J13,3,2)),50)=6,MOD(VALUE(MID(J13,3,2)),50)=9,MOD(VALUE(MID(J13,3,2)),50)=11),VALUE(RIGHT(J13,2))&gt;30),AND(MOD(VALUE(MID(J13,3,2)),50)=2,VALUE(RIGHT(J13,2))&gt;IF(MOD(VALUE(LEFT(J13,2)),4)=0,29,28)),VALUE(RIGHT(J13,2))=0),"nesprávne uvedený deň !",""))</f>
        <v>#VALUE!</v>
      </c>
      <c r="J16" s="642"/>
      <c r="K16" s="643"/>
    </row>
    <row r="17" spans="1:11">
      <c r="B17" s="632" t="s">
        <v>44</v>
      </c>
      <c r="C17" s="1373"/>
      <c r="D17" s="1374"/>
      <c r="E17" s="1042"/>
      <c r="I17" s="633" t="s">
        <v>698</v>
      </c>
      <c r="J17" s="635" t="s">
        <v>700</v>
      </c>
      <c r="K17" s="636" t="s">
        <v>701</v>
      </c>
    </row>
    <row r="18" spans="1:11" ht="13.8" thickBot="1">
      <c r="B18" s="632" t="s">
        <v>45</v>
      </c>
      <c r="C18" s="1363"/>
      <c r="D18" s="1364"/>
      <c r="E18" s="791"/>
      <c r="H18" s="683" t="str">
        <f>IF($C$31="","",IF(ABS(VALUE(MID($C$31,3,1))-5.5)=0.5,"žena",IF(VALUE(MID($C$31,3,1))&lt;2,"muž","???")))</f>
        <v/>
      </c>
      <c r="I18" s="634" t="s">
        <v>703</v>
      </c>
      <c r="J18" s="637" t="str">
        <f>IF($C$7="áno",$C$13,IF($C$7="nie",$C$31,"???"))</f>
        <v>???</v>
      </c>
      <c r="K18" s="638" t="str">
        <f>IF($C$7="áno",$D$13,IF($C$7="nie",$D$31,"???"))</f>
        <v>???</v>
      </c>
    </row>
    <row r="19" spans="1:11">
      <c r="B19" s="632" t="s">
        <v>694</v>
      </c>
      <c r="C19" s="1378"/>
      <c r="D19" s="1379"/>
      <c r="E19" s="644" t="str">
        <f>IF(C16="","Údaj 'Ulica, číslo' je povinné vyplniť!",IF(C17="","Údaj 'Obec' je povinné vyplniť!",IF(C18="","Údaj 'PSČ' je povinné vyplniť!","")))</f>
        <v>Údaj 'Ulica, číslo' je povinné vyplniť!</v>
      </c>
      <c r="I19" s="650" t="str">
        <f>IF(LEN(J18)&lt;&gt;6,"Prvá časť RČ musí obsahovať 6 číslic !",IF(OR(VALUE(J18)&gt;540000,VALUE(J18)&lt;10000*(YEAR(RCD)-1999)),IF(LEN(K18)=4,IF(MOD(J18+VALUE(K18),11)=0,IF(MOD(x+VALUE(LEFT(J18,2))-YEAR(RCD),100)=0,IF(I20="","OK","Zlé rodné číslo !"),"Rok v RČ nesúhlasí s vekom poisteného alebo so začiatkom poistenia v sheete (hárku) poistné!"),"Chyba v rodnom čísle !"),"Druhá časť RČ musí obsahovať 4 číslice !"),IF(LEN(K18)=3,IF(MOD(x+VALUE(LEFT(J18,2))-YEAR(RCD),100)=0,IF(I20="","OK","Zlé rodné číslo !"),"rok nesedí so začiatkom alebo s vekom"),"Druhá časť RČ musí obsahovať 3 čísla !")))</f>
        <v>Prvá časť RČ musí obsahovať 6 číslic !</v>
      </c>
      <c r="J19" s="639"/>
      <c r="K19" s="640"/>
    </row>
    <row r="20" spans="1:11" ht="13.8" thickBot="1">
      <c r="B20" s="632" t="s">
        <v>695</v>
      </c>
      <c r="C20" s="1376"/>
      <c r="D20" s="1377"/>
      <c r="E20" s="644" t="str">
        <f ca="1">IF(AND(C20="",C53="elektronické avízo",OR($C$8="",$C$8="nie")),"Údaj je povinné vyplniť!","")</f>
        <v>Údaj je povinné vyplniť!</v>
      </c>
      <c r="I20" s="641" t="e">
        <f>IF(MOD(VALUE(MID(J18,3,2))-1,50)&gt;11,"zle uvedený mesiac !",IF(OR(VALUE(RIGHT(J18,2))&gt;31,AND(OR(MOD(VALUE(MID(J18,3,2)),50)=4,MOD(VALUE(MID(J18,3,2)),50)=6,MOD(VALUE(MID(J18,3,2)),50)=9,MOD(VALUE(MID(J18,3,2)),50)=11),VALUE(RIGHT(J18,2))&gt;30),AND(MOD(VALUE(MID(J18,3,2)),50)=2,VALUE(RIGHT(J18,2))&gt;IF(MOD(VALUE(LEFT(J18,2)),4)=0,29,28)),VALUE(RIGHT(J18,2))=0),"nesprávne uvedený deň !",""))</f>
        <v>#VALUE!</v>
      </c>
      <c r="J20" s="642"/>
      <c r="K20" s="643"/>
    </row>
    <row r="21" spans="1:11">
      <c r="B21" s="632" t="s">
        <v>696</v>
      </c>
      <c r="C21" s="1367"/>
      <c r="D21" s="1368"/>
      <c r="E21" s="644" t="str">
        <f>IF(AND(C21="",OR($C$8="",$C$8="nie")),"Údaj je povinné vyplniť!","")</f>
        <v>Údaj je povinné vyplniť!</v>
      </c>
    </row>
    <row r="22" spans="1:11" ht="15.6">
      <c r="B22" s="632" t="s">
        <v>704</v>
      </c>
      <c r="C22" s="1349"/>
      <c r="D22" s="1350"/>
      <c r="E22" s="644"/>
    </row>
    <row r="23" spans="1:11" ht="15.6">
      <c r="B23" s="632" t="s">
        <v>705</v>
      </c>
      <c r="C23" s="1373"/>
      <c r="D23" s="1374"/>
      <c r="E23" s="644" t="str">
        <f>IF(C23="","Údaj je povinné vyplniť!","")</f>
        <v>Údaj je povinné vyplniť!</v>
      </c>
    </row>
    <row r="24" spans="1:11">
      <c r="B24" s="632" t="s">
        <v>697</v>
      </c>
      <c r="C24" s="795"/>
      <c r="D24" s="794"/>
      <c r="E24" s="644"/>
    </row>
    <row r="25" spans="1:11" hidden="1">
      <c r="B25" s="652" t="s">
        <v>706</v>
      </c>
      <c r="C25" s="1365"/>
      <c r="D25" s="1366"/>
      <c r="E25" s="644"/>
    </row>
    <row r="26" spans="1:11" ht="3.75" customHeight="1">
      <c r="B26" s="652"/>
      <c r="C26" s="661"/>
      <c r="D26" s="661"/>
      <c r="E26" s="644"/>
    </row>
    <row r="27" spans="1:11" ht="15.6" customHeight="1">
      <c r="B27" s="653" t="s">
        <v>48</v>
      </c>
      <c r="C27" s="655"/>
      <c r="D27" s="655"/>
      <c r="E27" s="656" t="str">
        <f>IF(AND($C$7="nie",SUM(COUNTBLANK(C28:D29),COUNTBLANK($C$31),COUNTBLANK($D$31),COUNTBLANK(C38))&gt;=3),"Treba vyplniť údaje o poistenom!",IF(AND(dospely=FALSE,pocetdeti&gt;0),"Časť 2. Poistený nevyplňovať, ak sú poistené iba deti!",IF(AND($C$7="áno",SUM(COUNTBLANK(C28:D40))&lt;26),"Časť 2. Poistený nevyplňovať, ak je poistník súčasne poistený!","")))</f>
        <v/>
      </c>
    </row>
    <row r="28" spans="1:11">
      <c r="B28" s="654" t="s">
        <v>40</v>
      </c>
      <c r="C28" s="1351"/>
      <c r="D28" s="1352"/>
      <c r="E28" s="663" t="str">
        <f>IF(AND($C$7="nie",C28=""),"Údaj je povinné vyplniť!",IF(AND($C$7&lt;&gt;"nie",C28&lt;&gt;""),"Údaj nevypĺňať!",""))</f>
        <v/>
      </c>
    </row>
    <row r="29" spans="1:11">
      <c r="B29" s="654" t="s">
        <v>41</v>
      </c>
      <c r="C29" s="1351"/>
      <c r="D29" s="1352"/>
      <c r="E29" s="663" t="str">
        <f>IF(AND($C$7="nie",C29=""),"Údaj je povinné vyplniť!",IF(AND($C$7&lt;&gt;"nie",C29&lt;&gt;""),"Údaj nevypĺňať!",""))</f>
        <v/>
      </c>
    </row>
    <row r="30" spans="1:11">
      <c r="B30" s="654" t="s">
        <v>690</v>
      </c>
      <c r="C30" s="1351"/>
      <c r="D30" s="1352"/>
      <c r="E30" s="663"/>
    </row>
    <row r="31" spans="1:11">
      <c r="A31" s="651"/>
      <c r="B31" s="654" t="s">
        <v>42</v>
      </c>
      <c r="C31" s="681"/>
      <c r="D31" s="682"/>
      <c r="E31" s="663" t="str">
        <f>IF(AND($C$7="nie",C31=""),"Údaj je povinné vyplniť!",IF(AND($C$7&lt;&gt;"nie",C31&lt;&gt;""),"Údaj nevypĺňať!",IF(AND($C$7="nie",$I$19&lt;&gt;"OK"),$I$19&amp;" "&amp;IF(ISERR($I$20),"",$I$20),"")))</f>
        <v/>
      </c>
    </row>
    <row r="32" spans="1:11">
      <c r="B32" s="632" t="s">
        <v>719</v>
      </c>
      <c r="C32" s="1347"/>
      <c r="D32" s="1348"/>
      <c r="E32" s="663"/>
    </row>
    <row r="33" spans="2:9">
      <c r="B33" s="654" t="s">
        <v>693</v>
      </c>
      <c r="C33" s="1351"/>
      <c r="D33" s="1352"/>
      <c r="E33" s="663" t="str">
        <f>IF(AND($C$7="nie",C33=""),"Údaj je povinné vyplniť!",IF(AND($C$7&lt;&gt;"nie",C33&lt;&gt;""),"Údaj nevypĺňať!",""))</f>
        <v/>
      </c>
    </row>
    <row r="34" spans="2:9">
      <c r="B34" s="654" t="s">
        <v>44</v>
      </c>
      <c r="C34" s="1351"/>
      <c r="D34" s="1352"/>
      <c r="E34" s="663" t="str">
        <f>IF(AND($C$7="nie",C34=""),"Údaj je povinné vyplniť!",IF(AND($C$7&lt;&gt;"nie",C34&lt;&gt;""),"Údaj nevypĺňať!",""))</f>
        <v/>
      </c>
    </row>
    <row r="35" spans="2:9">
      <c r="B35" s="654" t="s">
        <v>45</v>
      </c>
      <c r="C35" s="1351"/>
      <c r="D35" s="1352"/>
      <c r="E35" s="663" t="str">
        <f>IF(AND($C$7="nie",C35=""),"Údaj je povinné vyplniť!",IF(AND($C$7&lt;&gt;"nie",C35&lt;&gt;""),"Údaj nevypĺňať!",""))</f>
        <v/>
      </c>
    </row>
    <row r="36" spans="2:9">
      <c r="B36" s="654" t="s">
        <v>694</v>
      </c>
      <c r="C36" s="1362"/>
      <c r="D36" s="1352"/>
      <c r="E36" s="663"/>
    </row>
    <row r="37" spans="2:9">
      <c r="B37" s="654" t="s">
        <v>695</v>
      </c>
      <c r="C37" s="1359"/>
      <c r="D37" s="1352"/>
      <c r="E37" s="663"/>
    </row>
    <row r="38" spans="2:9">
      <c r="B38" s="654" t="s">
        <v>707</v>
      </c>
      <c r="C38" s="1351"/>
      <c r="D38" s="1352"/>
      <c r="E38" s="663" t="str">
        <f>IF(AND($C$7="nie",C38=""),"Údaj je povinné vyplniť!",IF(AND($C$7&lt;&gt;"nie",C38&lt;&gt;""),"Údaj nevypĺňať!",""))</f>
        <v/>
      </c>
    </row>
    <row r="39" spans="2:9" ht="15.6">
      <c r="B39" s="654" t="s">
        <v>704</v>
      </c>
      <c r="C39" s="1351"/>
      <c r="D39" s="1352"/>
      <c r="E39" s="663"/>
    </row>
    <row r="40" spans="2:9" ht="12.75" customHeight="1">
      <c r="B40" s="1038" t="s">
        <v>912</v>
      </c>
      <c r="C40" s="1351"/>
      <c r="D40" s="1352"/>
      <c r="E40" s="663"/>
      <c r="F40" s="1372" t="str">
        <f>IF(dn&gt;0,"Dennú náhradu v prípade práceneschopnosti po úraze, nie je možné dojednať pre ŠTUDENTOV, NEZAMESTNANÝCH, DÔCHODCOVIA, ŽENY V DOMÁCNOSTI a NA MATERSKEJ DOVOLENKE!","")</f>
        <v/>
      </c>
      <c r="G40" s="1372"/>
      <c r="H40" s="1372"/>
    </row>
    <row r="41" spans="2:9" ht="12.75" hidden="1" customHeight="1">
      <c r="B41" s="654" t="s">
        <v>708</v>
      </c>
      <c r="C41" s="1353" t="s">
        <v>720</v>
      </c>
      <c r="D41" s="1354"/>
      <c r="E41" s="663"/>
      <c r="F41" s="1372"/>
      <c r="G41" s="1372"/>
      <c r="H41" s="1372"/>
    </row>
    <row r="42" spans="2:9" ht="3.75" customHeight="1">
      <c r="F42" s="1372"/>
      <c r="G42" s="1372"/>
      <c r="H42" s="1372"/>
    </row>
    <row r="43" spans="2:9" ht="15.6" customHeight="1">
      <c r="B43" s="653" t="s">
        <v>710</v>
      </c>
      <c r="F43" s="1372"/>
      <c r="G43" s="1372"/>
      <c r="H43" s="1372"/>
    </row>
    <row r="44" spans="2:9" ht="12.75" customHeight="1">
      <c r="B44" s="662" t="s">
        <v>711</v>
      </c>
      <c r="C44" s="1349"/>
      <c r="D44" s="1350"/>
      <c r="E44" s="663" t="str">
        <f t="shared" ref="E44:E49" si="0">IF($C$7="nie(poistené je iba dieťa/deti)",IF(C44&lt;&gt;"","Údaj nevypĺňať!",""),IF(C44="","Údaj je povinné vyplniť!!",""))</f>
        <v>Údaj je povinné vyplniť!!</v>
      </c>
      <c r="F44" s="1372"/>
      <c r="G44" s="1372"/>
      <c r="H44" s="1372"/>
      <c r="I44" s="1018"/>
    </row>
    <row r="45" spans="2:9">
      <c r="B45" s="654" t="s">
        <v>708</v>
      </c>
      <c r="C45" s="1351"/>
      <c r="D45" s="1352"/>
      <c r="E45" s="663" t="str">
        <f t="shared" si="0"/>
        <v>Údaj je povinné vyplniť!!</v>
      </c>
      <c r="F45" s="1372"/>
      <c r="G45" s="1372"/>
      <c r="H45" s="1372"/>
      <c r="I45" s="1018"/>
    </row>
    <row r="46" spans="2:9">
      <c r="B46" s="662" t="s">
        <v>712</v>
      </c>
      <c r="C46" s="1349"/>
      <c r="D46" s="1350"/>
      <c r="E46" s="663" t="str">
        <f t="shared" si="0"/>
        <v>Údaj je povinné vyplniť!!</v>
      </c>
      <c r="F46" s="1018"/>
      <c r="G46" s="1018"/>
      <c r="H46" s="1018"/>
      <c r="I46" s="1018"/>
    </row>
    <row r="47" spans="2:9">
      <c r="B47" s="662" t="s">
        <v>714</v>
      </c>
      <c r="C47" s="1349"/>
      <c r="D47" s="1350"/>
      <c r="E47" s="663" t="str">
        <f t="shared" si="0"/>
        <v>Údaj je povinné vyplniť!!</v>
      </c>
      <c r="F47" s="1033" t="str">
        <f>IF((OR(C46="",C49="")),"","Skontroluj, či uvedená činnosť naozaj patrí")</f>
        <v/>
      </c>
      <c r="G47" s="1041"/>
      <c r="H47" s="1041"/>
    </row>
    <row r="48" spans="2:9">
      <c r="B48" s="662" t="s">
        <v>721</v>
      </c>
      <c r="C48" s="1349"/>
      <c r="D48" s="1350"/>
      <c r="E48" s="663" t="str">
        <f t="shared" si="0"/>
        <v>Údaj je povinné vyplniť!!</v>
      </c>
      <c r="F48" s="1033" t="str">
        <f>IF(C46="","",CONCATENATE("- do rizikovej skupiny RS",rs,", zadanej v sheete (hárku) poistné!"))</f>
        <v/>
      </c>
      <c r="G48" s="1041"/>
      <c r="H48" s="1041"/>
    </row>
    <row r="49" spans="1:16">
      <c r="B49" s="662" t="s">
        <v>713</v>
      </c>
      <c r="C49" s="1349"/>
      <c r="D49" s="1350"/>
      <c r="E49" s="663" t="str">
        <f t="shared" si="0"/>
        <v>Údaj je povinné vyplniť!!</v>
      </c>
      <c r="F49" s="1033" t="str">
        <f>IF(C49="","",CONCATENATE("- do rizikovej skupiny RS",rs,", zadanej v sheete (hárku) poistné!"))</f>
        <v/>
      </c>
      <c r="G49" s="1041"/>
      <c r="H49" s="1041"/>
    </row>
    <row r="50" spans="1:16" ht="3" customHeight="1">
      <c r="B50" s="662"/>
      <c r="C50" s="661"/>
      <c r="D50" s="661"/>
      <c r="E50" s="663"/>
    </row>
    <row r="51" spans="1:16">
      <c r="B51" s="653" t="s">
        <v>775</v>
      </c>
      <c r="C51" s="661"/>
      <c r="D51" s="661"/>
      <c r="E51" s="663"/>
    </row>
    <row r="52" spans="1:16">
      <c r="B52" s="813" t="s">
        <v>776</v>
      </c>
      <c r="C52" s="1355" t="str">
        <f ca="1">IF(test="O.K.",IF(t=1,"ročné",IF(t=2,"polročné",IF(t=4,"štvrťročné",IF(t=12,"mesačné","")))),"?")</f>
        <v>polročné</v>
      </c>
      <c r="D52" s="1356"/>
      <c r="E52" s="663"/>
    </row>
    <row r="53" spans="1:16">
      <c r="B53" s="813" t="s">
        <v>771</v>
      </c>
      <c r="C53" s="1355" t="str">
        <f ca="1">IF(AND(avizo&lt;&gt;"",test="O.K."),avizo,"?")</f>
        <v>elektronické avízo</v>
      </c>
      <c r="D53" s="1356"/>
      <c r="E53" s="1037">
        <f ca="1">IF(C53="elektronické avízo",C20,"")</f>
        <v>0</v>
      </c>
      <c r="F53" s="1009" t="str">
        <f ca="1">IF(C53="elektronické avízo",IF(C20="","Potrebné doplniť mailovú adresu pri poistníkovi!",""),"")</f>
        <v>Potrebné doplniť mailovú adresu pri poistníkovi!</v>
      </c>
      <c r="M53" s="631" t="b">
        <f ca="1">ISERR(M61)</f>
        <v>1</v>
      </c>
    </row>
    <row r="54" spans="1:16" ht="3" customHeight="1">
      <c r="B54" s="813"/>
      <c r="C54" s="846"/>
      <c r="D54" s="846"/>
      <c r="E54" s="847"/>
      <c r="F54" s="644"/>
    </row>
    <row r="55" spans="1:16" ht="8.25" customHeight="1">
      <c r="B55" s="653"/>
      <c r="C55" s="846"/>
      <c r="D55" s="846"/>
      <c r="E55" s="847"/>
      <c r="F55" s="644"/>
      <c r="M55" s="631" t="e">
        <f ca="1">RCD&gt;=M61</f>
        <v>#VALUE!</v>
      </c>
    </row>
    <row r="56" spans="1:16">
      <c r="B56" s="813" t="s">
        <v>921</v>
      </c>
      <c r="C56" s="1357"/>
      <c r="D56" s="1358"/>
      <c r="E56" s="848" t="str">
        <f>IF(AND(Poistné!C42="a",dospely=TRUE,C56=""),"Údaj je povinné vyplniť!","")</f>
        <v>Údaj je povinné vyplniť!</v>
      </c>
      <c r="F56" s="644"/>
    </row>
    <row r="57" spans="1:16">
      <c r="B57" s="813" t="s">
        <v>922</v>
      </c>
      <c r="C57" s="1357"/>
      <c r="D57" s="1358"/>
      <c r="E57" s="848" t="str">
        <f>IF(AND(Poistné!C42="a",pocetdeti&gt;0,C57=""),"Údaj je povinné vyplniť!","")</f>
        <v/>
      </c>
    </row>
    <row r="58" spans="1:16" ht="3" customHeight="1"/>
    <row r="59" spans="1:16" ht="15.6" customHeight="1" thickBot="1">
      <c r="B59" s="1039" t="s">
        <v>913</v>
      </c>
    </row>
    <row r="60" spans="1:16" ht="27" thickBot="1">
      <c r="B60" s="1184" t="s">
        <v>893</v>
      </c>
      <c r="C60" s="1360" t="s">
        <v>42</v>
      </c>
      <c r="D60" s="1361"/>
      <c r="E60" s="1013" t="s">
        <v>715</v>
      </c>
      <c r="F60" s="1014" t="s">
        <v>716</v>
      </c>
      <c r="G60" s="644" t="str">
        <f>IF(AND(A61&gt;0,dospely=FALSE),IF(MIN(P61:P63)&gt;=11,"Ak sú poistené iba deti, maximálny vstupný vek je 10 rokov!",""),"")</f>
        <v/>
      </c>
      <c r="J60" s="667" t="s">
        <v>717</v>
      </c>
      <c r="K60" s="664"/>
      <c r="P60" s="996" t="s">
        <v>876</v>
      </c>
    </row>
    <row r="61" spans="1:16">
      <c r="A61" s="683">
        <f>pocetdeti</f>
        <v>0</v>
      </c>
      <c r="B61" s="1255"/>
      <c r="C61" s="1188"/>
      <c r="D61" s="1188"/>
      <c r="E61" s="1185"/>
      <c r="F61" s="670"/>
      <c r="G61" s="1000" t="str">
        <f ca="1">IF(AND(OR(B61="",C61="",D61="",F61=""),pocetdeti&gt;=1),"Údaje pre poistené deti je potrebné vyplniť!",IF(AND(A61=0,OR(B61&lt;&gt;"",C61&lt;&gt;"",D61&lt;&gt;"",E61&lt;&gt;"",F61&lt;&gt;"")),"Nie je dojednané pripoistenie pre deti - nevypĺňať údaje!",IF(AND(A61&gt;0,C61&lt;&gt;"",D61&lt;&gt;"",J61&lt;&gt;"OK"),J61&amp;" "&amp;IF(ISERR($K$61),"",$K$61),IF(ISERR(M61)=FALSE,IF(RCD&gt;=M61,"Poistiť je možné iba dieťa do 15 rokov!",""),""))))</f>
        <v/>
      </c>
      <c r="J61" s="665" t="str">
        <f>IF(LEN(C61)&lt;&gt;6,"Prvá časť RČ musí obsahovať 6 číslic !",IF(OR(VALUE(C61)&gt;540000,VALUE(C61)&lt;10000*(YEAR(RCD)-1999)),IF(LEN(D61)=4,IF(MOD(C61+VALUE(D61),11)=0,IF(K61="","OK","Zlé rodné číslo !"),"Chyba v rodnom čísle !"),"Druhá časť RČ musí obsahovať 4 číslice !"),IF(LEN(D61)=3,IF(K61="","OK","Zlé rodné číslo !"),"Druhá časť RČ musí obsahovať 3 čísla !")))</f>
        <v>Prvá časť RČ musí obsahovať 6 číslic !</v>
      </c>
      <c r="K61" s="666" t="e">
        <f>IF(MOD(VALUE(MID(C61,3,2))-1,50)&gt;11,"Zle uvedený mesiac !",IF(OR(VALUE(RIGHT(C61,2))&gt;31,AND(OR(MOD(VALUE(MID(C61,3,2)),50)=4,MOD(VALUE(MID(C61,3,2)),50)=6,MOD(VALUE(MID(C61,3,2)),50)=9,MOD(VALUE(MID(C61,3,2)),50)=11),VALUE(RIGHT(C61,2))&gt;30),AND(MOD(VALUE(MID(C61,3,2)),50)=2,VALUE(RIGHT(C61,2))&gt;IF(MOD(VALUE(LEFT(C61,2)),4)=0,29,28)),VALUE(RIGHT(C61,2))=0),"Nesprávne uvedený deň !",""))</f>
        <v>#VALUE!</v>
      </c>
      <c r="M61" s="668" t="e">
        <f ca="1">DATE(IF(LEFT(C61,2)&lt;=RIGHT(YEAR(RCD),2),2000,1900)+LEFT(C61,2)+15,IF(VALUE(MID(C61,3,1))&lt;2,MID(C61,3,2),MID(C61,3,2)-50),MID(C61,5,2))</f>
        <v>#VALUE!</v>
      </c>
      <c r="N61" s="998" t="str">
        <f>C61&amp;D61</f>
        <v/>
      </c>
      <c r="O61" s="998" t="str">
        <f>IF(N61="","",IF(N61="","",DATE(IF(AND(LEN(N61)=10,MID(N61,1,2)*1&lt;54),MID(N61,1,2)+2000,MID(N61,1,2)+1900),MID(N61,3,2)-IF(MID(N61,3,2)*1&gt;12,50),MID(N61,5,2))))</f>
        <v/>
      </c>
      <c r="P61" s="999" t="str">
        <f>IF(C61&lt;&gt;"",YEAR(RCD)-YEAR(O61),"")</f>
        <v/>
      </c>
    </row>
    <row r="62" spans="1:16">
      <c r="A62" s="683"/>
      <c r="B62" s="1193"/>
      <c r="C62" s="1191"/>
      <c r="D62" s="1189"/>
      <c r="E62" s="1186"/>
      <c r="F62" s="673"/>
      <c r="G62" s="1000" t="str">
        <f ca="1">IF(AND(OR(B62="",C62="",F62=""),pocetdeti&gt;=2),"Údaje pre poistené deti je potrebné vyplniť!",IF(AND(pocetdeti=0,OR(B62&lt;&gt;"",C62&lt;&gt;"",D62&lt;&gt;"")),"Nie je dojednané pripoistenie pre deti - nevypĺňať údaje!",IF(AND(pocetdeti&gt;0,C62&lt;&gt;"",D62&lt;&gt;"",J62&lt;&gt;"OK"),J62&amp;" "&amp;IF(ISERR($K$62),"",$K$62),IF(ISERR(M62)=FALSE,IF(RCD&gt;=M62,"Poistiť je možné iba dieťa do 15 rokov!",""),""))))</f>
        <v/>
      </c>
      <c r="J62" s="665" t="str">
        <f>IF(LEN(C62)&lt;&gt;6,"Prvá časť RČ musí obsahovať 6 číslic !",IF(OR(VALUE(C62)&gt;540000,VALUE(C62)&lt;10000*(YEAR(RCD)-1999)),IF(LEN(D62)=4,IF(MOD(C62+VALUE(D62),11)=0,IF(K62="","OK","Zlé rodné číslo !"),"Chyba v rodnom čísle !"),"Druhá časť RČ musí obsahovať 4 číslice !"),IF(LEN(D62)=3,IF(K62="","OK","Zlé rodné číslo !"),"Druhá časť RČ musí obsahovať 3 čísla !")))</f>
        <v>Prvá časť RČ musí obsahovať 6 číslic !</v>
      </c>
      <c r="K62" s="666" t="e">
        <f>IF(MOD(VALUE(MID(C62,3,2))-1,50)&gt;11,"Zle uvedený mesiac !",IF(OR(VALUE(RIGHT(C62,2))&gt;31,AND(OR(MOD(VALUE(MID(C62,3,2)),50)=4,MOD(VALUE(MID(C62,3,2)),50)=6,MOD(VALUE(MID(C62,3,2)),50)=9,MOD(VALUE(MID(C62,3,2)),50)=11),VALUE(RIGHT(C62,2))&gt;30),AND(MOD(VALUE(MID(C62,3,2)),50)=2,VALUE(RIGHT(C62,2))&gt;IF(MOD(VALUE(LEFT(C62,2)),4)=0,29,28)),VALUE(RIGHT(C62,2))=0),"Nesprávne uvedený deň !",""))</f>
        <v>#VALUE!</v>
      </c>
      <c r="M62" s="668" t="e">
        <f ca="1">DATE(IF(LEFT(C62,2)&lt;=RIGHT(YEAR(RCD),2),2000,1900)+LEFT(C62,2)+15,IF(VALUE(MID(C62,3,1))&lt;2,MID(C62,3,2),MID(C62,3,2)-50),MID(C62,5,2))</f>
        <v>#VALUE!</v>
      </c>
      <c r="N62" s="998" t="str">
        <f>C62&amp;D62</f>
        <v/>
      </c>
      <c r="O62" s="998" t="str">
        <f>IF(N62="","",IF(N62="","",DATE(IF(AND(LEN(N62)=10,MID(N62,1,2)*1&lt;54),MID(N62,1,2)+2000,MID(N62,1,2)+1900),MID(N62,3,2)-IF(MID(N62,3,2)*1&gt;12,50),MID(N62,5,2))))</f>
        <v/>
      </c>
      <c r="P62" s="999" t="str">
        <f>IF(C62&lt;&gt;"",YEAR(RCD)-YEAR(O62),"")</f>
        <v/>
      </c>
    </row>
    <row r="63" spans="1:16" ht="13.8" thickBot="1">
      <c r="A63" s="683"/>
      <c r="B63" s="1194"/>
      <c r="C63" s="1192"/>
      <c r="D63" s="1190"/>
      <c r="E63" s="1187"/>
      <c r="F63" s="676"/>
      <c r="G63" s="1000" t="str">
        <f ca="1">IF(AND(OR(B63="",C63="",F63=""),pocetdeti=3),"Údaje pre poistené deti je potrebné vyplniť!",IF(AND(pocetdeti=0,OR(B63&lt;&gt;"",C63&lt;&gt;"",D63&lt;&gt;"")),"Nie je dojednané pripoistenie pre deti - nevypĺňať údaje!",IF(AND(pocetdeti&gt;0,C63&lt;&gt;"",D63&lt;&gt;"",J63&lt;&gt;"OK"),J63&amp;" "&amp;IF(ISERR($K$63),"",$K$63),IF(ISERR(M63)=FALSE,IF(RCD&gt;=M63,"Poistiť je možné iba dieťa do 15 rokov!",""),""))))</f>
        <v/>
      </c>
      <c r="J63" s="665" t="str">
        <f>IF(LEN(C63)&lt;&gt;6,"Prvá časť RČ musí obsahovať 6 číslic !",IF(OR(VALUE(C63)&gt;540000,VALUE(C63)&lt;10000*(YEAR(RCD)-1999)),IF(LEN(D63)=4,IF(MOD(C63+VALUE(D63),11)=0,IF(K63="","OK","Zlé rodné číslo !"),"Chyba v rodnom čísle !"),"Druhá časť RČ musí obsahovať 4 číslice !"),IF(LEN(D63)=3,IF(K63="","OK","Zlé rodné číslo !"),"Druhá časť RČ musí obsahovať 3 čísla !")))</f>
        <v>Prvá časť RČ musí obsahovať 6 číslic !</v>
      </c>
      <c r="K63" s="666" t="e">
        <f>IF(MOD(VALUE(MID(C63,3,2))-1,50)&gt;11,"Zle uvedený mesiac !",IF(OR(VALUE(RIGHT(C63,2))&gt;31,AND(OR(MOD(VALUE(MID(C63,3,2)),50)=4,MOD(VALUE(MID(C63,3,2)),50)=6,MOD(VALUE(MID(C63,3,2)),50)=9,MOD(VALUE(MID(C63,3,2)),50)=11),VALUE(RIGHT(C63,2))&gt;30),AND(MOD(VALUE(MID(C63,3,2)),50)=2,VALUE(RIGHT(C63,2))&gt;IF(MOD(VALUE(LEFT(C63,2)),4)=0,29,28)),VALUE(RIGHT(C63,2))=0),"Nesprávne uvedený deň !",""))</f>
        <v>#VALUE!</v>
      </c>
      <c r="M63" s="668" t="e">
        <f ca="1">DATE(IF(LEFT(C63,2)&lt;=RIGHT(YEAR(RCD),2),2000,1900)+LEFT(C63,2)+15,IF(VALUE(MID(C63,3,1))&lt;2,MID(C63,3,2),MID(C63,3,2)-50),MID(C63,5,2))</f>
        <v>#VALUE!</v>
      </c>
      <c r="N63" s="998" t="str">
        <f t="shared" ref="N63:N64" si="1">C63&amp;D63</f>
        <v/>
      </c>
      <c r="O63" s="998" t="str">
        <f>IF(N63="","",IF(N63="","",DATE(IF(AND(LEN(N63)=10,MID(N63,1,2)*1&lt;54),MID(N63,1,2)+2000,MID(N63,1,2)+1900),MID(N63,3,2)-IF(MID(N63,3,2)*1&gt;12,50),MID(N63,5,2))))</f>
        <v/>
      </c>
      <c r="P63" s="999" t="str">
        <f>IF(C63&lt;&gt;"",YEAR(RCD)-YEAR(O63),"")</f>
        <v/>
      </c>
    </row>
    <row r="64" spans="1:16" ht="3" customHeight="1">
      <c r="J64" s="679"/>
      <c r="K64" s="680"/>
      <c r="N64" s="668" t="str">
        <f t="shared" si="1"/>
        <v/>
      </c>
      <c r="O64" s="668" t="str">
        <f t="shared" ref="O64" si="2">IF(N64="","",IF(N64="","",DATE(IF(AND(LEN(N64)=10,MID(N64,1,2)*1&lt;54),MID(N64,1,2)+2000,MID(N64,1,2)+1900),MID(N64,3,2)-IF(MID(N64,3,2)*1&gt;12,50),MID(N64,5,2))))</f>
        <v/>
      </c>
      <c r="P64" s="997" t="e">
        <f ca="1">YEAR(RCD)-YEAR(O64)</f>
        <v>#VALUE!</v>
      </c>
    </row>
    <row r="65" spans="2:11" ht="15.6" customHeight="1" thickBot="1">
      <c r="B65" s="1039" t="s">
        <v>914</v>
      </c>
      <c r="J65" s="679"/>
      <c r="K65" s="680"/>
    </row>
    <row r="66" spans="2:11" ht="27.6" thickBot="1">
      <c r="B66" s="1015" t="s">
        <v>718</v>
      </c>
      <c r="C66" s="1345" t="s">
        <v>42</v>
      </c>
      <c r="D66" s="1346"/>
      <c r="E66" s="1040" t="s">
        <v>934</v>
      </c>
      <c r="J66" s="679"/>
      <c r="K66" s="680"/>
    </row>
    <row r="67" spans="2:11">
      <c r="B67" s="678"/>
      <c r="C67" s="669"/>
      <c r="D67" s="669"/>
      <c r="E67" s="1251"/>
      <c r="F67" s="644" t="str">
        <f>IF(su&gt;0,IF(AND(B67="",B68="",B69=""),"Údaje pre oprávnené osoby je potrebné vyplniť!",IF(AND(B67&lt;&gt;"zatiaľ neurčujem",E67=""),"Treba vyplniť podiel na plnení!",IF(AND(B67="zatiaľ neurčujem",OR(C67&lt;&gt;"",D67&lt;&gt;"",E67&lt;&gt;"")),"Ak sa neurčuje oprávnená osoba, nevypĺňať ďalšie políčka!",IF(AND(B67&lt;&gt;"zatiaľ neurčujem",SUM(E67:E69)&lt;&gt;100),IF(AND(B68="",B69=""),"Podiel na plnení pre jednu osobu musí byť 100%","Súčet podielov na plnení musí byť 100%!"),IF(AND(B67="",OR(C67&lt;&gt;"",D67&lt;&gt;"",E67&lt;&gt;"")),"Ak je vyplnené RČ alebo podiel na plnení, treba vyplniť aj meno oprávnenej osoby!",IF(AND(B67&lt;&gt;"",ISERROR(MATCH(B67,$B$72:$B$83,0)),OR(C67="",D67="",E67="")),"Ak je vyplnené meno oprávnenej osoby, treba vyplniť aj RČ a podiel na plnení!",IF(AND(B67&lt;&gt;"",ISERROR(MATCH(B67,$B$72:$B$83,0))=FALSE,OR(C67&lt;&gt;"",D67&lt;&gt;"")),"Ak sa oprávnená osoba určuje vzťahom k poistenému, RČ sa nevypĺňa!",IF(AND(OR(C67&lt;&gt;"",D67&lt;&gt;""),J67&lt;&gt;"OK"),J67&amp;" "&amp;IF(ISERR(K67),"",K67),"")))))))),"")</f>
        <v>Údaje pre oprávnené osoby je potrebné vyplniť!</v>
      </c>
      <c r="J67" s="665" t="str">
        <f>IF(LEN(C67)&lt;&gt;6,"Prvá časť RČ musí obsahovať 6 číslic !",IF(OR(VALUE(C67)&gt;540000,VALUE(C67)&lt;10000*(YEAR(RCD)-1999)),IF(LEN(D67)=4,IF(MOD(C67+VALUE(D67),11)=0,IF(K67="","OK","Zlé rodné číslo !"),"Chyba v rodnom čísle !"),"Druhá časť RČ musí obsahovať 4 číslice !"),IF(LEN(D67)=3,IF(K67="","OK","Zlé rodné číslo !"),"Druhá časť RČ musí obsahovať 3 čísla !")))</f>
        <v>Prvá časť RČ musí obsahovať 6 číslic !</v>
      </c>
      <c r="K67" s="666" t="e">
        <f>IF(MOD(VALUE(MID(C67,3,2))-1,50)&gt;11,"Zle uvedený mesiac !",IF(OR(VALUE(RIGHT(C67,2))&gt;31,AND(OR(MOD(VALUE(MID(C67,3,2)),50)=4,MOD(VALUE(MID(C67,3,2)),50)=6,MOD(VALUE(MID(C67,3,2)),50)=9,MOD(VALUE(MID(C67,3,2)),50)=11),VALUE(RIGHT(C67,2))&gt;30),AND(MOD(VALUE(MID(C67,3,2)),50)=2,VALUE(RIGHT(C67,2))&gt;IF(MOD(VALUE(LEFT(C67,2)),4)=0,29,28)),VALUE(RIGHT(C67,2))=0),"Nesprávne uvedený deň !",""))</f>
        <v>#VALUE!</v>
      </c>
    </row>
    <row r="68" spans="2:11">
      <c r="B68" s="671"/>
      <c r="C68" s="677"/>
      <c r="D68" s="672"/>
      <c r="E68" s="1252"/>
      <c r="F68" s="1011" t="str">
        <f>IF(AND(B68&lt;&gt;"",E68=""),"Treba vyplniť podiel na plnení, ak sa určuje ďalšia osoba!",IF(AND(B68="",OR(C68&lt;&gt;"",D68&lt;&gt;"",E68&lt;&gt;"")),"Ak je vyplnené RČ alebo podiel na plnení, treba vyplniť aj meno oprávnenej osoby!",IF(AND(B68&lt;&gt;"",ISERROR(MATCH(B68,$B$72:$B$83,0)),OR(C68="",D68="",E68="")),"Ak je vyplnené meno oprávnenej osoby, treba vyplniť aj RČ a podiel na plnení!",IF(AND(B68&lt;&gt;"",ISERROR(MATCH(B68,$B$72:$B$83,0))=FALSE,OR(C68&lt;&gt;"",D68&lt;&gt;"")),"Ak sa oprávnená osoba určuje vzťahom k poistenému, RČ sa nevypĺňa!",IF(AND(OR(C68&lt;&gt;"",D68&lt;&gt;""),J68&lt;&gt;"OK"),J68&amp;" "&amp;IF(ISERR(K68),"",K68),"")))))</f>
        <v/>
      </c>
      <c r="J68" s="665" t="str">
        <f>IF(LEN(C68)&lt;&gt;6,"Prvá časť RČ musí obsahovať 6 číslic !",IF(OR(VALUE(C68)&gt;540000,VALUE(C68)&lt;10000*(YEAR(RCD)-1999)),IF(LEN(D68)=4,IF(MOD(C68+VALUE(D68),11)=0,IF(K68="","OK","Zlé rodné číslo !"),"Chyba v rodnom čísle !"),"Druhá časť RČ musí obsahovať 4 číslice !"),IF(LEN(D68)=3,IF(K68="","OK","Zlé rodné číslo !"),"")))</f>
        <v>Prvá časť RČ musí obsahovať 6 číslic !</v>
      </c>
      <c r="K68" s="666" t="e">
        <f t="shared" ref="K68:K69" si="3">IF(MOD(VALUE(MID(C68,3,2))-1,50)&gt;11,"Zle uvedený mesiac !",IF(OR(VALUE(RIGHT(C68,2))&gt;31,AND(OR(MOD(VALUE(MID(C68,3,2)),50)=4,MOD(VALUE(MID(C68,3,2)),50)=6,MOD(VALUE(MID(C68,3,2)),50)=9,MOD(VALUE(MID(C68,3,2)),50)=11),VALUE(RIGHT(C68,2))&gt;30),AND(MOD(VALUE(MID(C68,3,2)),50)=2,VALUE(RIGHT(C68,2))&gt;IF(MOD(VALUE(LEFT(C68,2)),4)=0,29,28)),VALUE(RIGHT(C68,2))=0),"Nesprávne uvedený deň !",""))</f>
        <v>#VALUE!</v>
      </c>
    </row>
    <row r="69" spans="2:11" ht="13.8" thickBot="1">
      <c r="B69" s="674"/>
      <c r="C69" s="675"/>
      <c r="D69" s="675"/>
      <c r="E69" s="1253"/>
      <c r="F69" s="1011" t="str">
        <f>IF(AND(B69&lt;&gt;"",E69=""),"Treba vyplniť podiel na plnení, ak sa určuje ďalšia osoba!",IF(AND(B69="",OR(C69&lt;&gt;"",D69&lt;&gt;"",E69&lt;&gt;"")),"Ak je vyplnené RČ alebo podiel na plnení, treba vyplniť aj meno oprávnenej osoby!",IF(AND(B69&lt;&gt;"",ISERROR(MATCH(B69,$B$72:$B$83,0)),OR(C69="",D69="",E69="")),"Ak je vyplnené meno oprávnenej osoby, treba vyplniť aj RČ a podiel na plnení!",IF(AND(B69&lt;&gt;"",ISERROR(MATCH(B69,$B$72:$B$83,0))=FALSE,OR(C69&lt;&gt;"",D69&lt;&gt;"")),"Ak sa oprávnená osoba určuje vzťahom k poistenému, RČ sa nevypĺňa!",IF(AND(OR(C69&lt;&gt;"",D69&lt;&gt;""),J69&lt;&gt;"OK"),J69&amp;" "&amp;IF(ISERR(K69),"",K69),"")))))</f>
        <v/>
      </c>
      <c r="J69" s="665" t="str">
        <f>IF(LEN(C69)&lt;&gt;6,"Prvá časť RČ musí obsahovať 6 číslic !",IF(OR(VALUE(C69)&gt;540000,VALUE(C69)&lt;10000*(YEAR(RCD)-1999)),IF(LEN(D69)=4,IF(MOD(C69+VALUE(D69),11)=0,IF(K69="","OK","Zlé rodné číslo !"),"Chyba v rodnom čísle !"),"Druhá časť RČ musí obsahovať 4 číslice !"),IF(LEN(D69)=3,IF(K69="","OK","Zlé rodné číslo !"),"Druhá časť RČ musí obsahovať 3 čísla !")))</f>
        <v>Prvá časť RČ musí obsahovať 6 číslic !</v>
      </c>
      <c r="K69" s="666" t="e">
        <f t="shared" si="3"/>
        <v>#VALUE!</v>
      </c>
    </row>
    <row r="72" spans="2:11" hidden="1">
      <c r="B72" s="651" t="s">
        <v>898</v>
      </c>
    </row>
    <row r="73" spans="2:11" hidden="1">
      <c r="B73" s="651" t="s">
        <v>901</v>
      </c>
    </row>
    <row r="74" spans="2:11" hidden="1">
      <c r="B74" s="651" t="s">
        <v>902</v>
      </c>
    </row>
    <row r="75" spans="2:11" hidden="1">
      <c r="B75" s="651" t="s">
        <v>903</v>
      </c>
    </row>
    <row r="76" spans="2:11" hidden="1">
      <c r="B76" s="651" t="s">
        <v>904</v>
      </c>
    </row>
    <row r="77" spans="2:11" hidden="1">
      <c r="B77" s="651" t="s">
        <v>905</v>
      </c>
    </row>
    <row r="78" spans="2:11" hidden="1">
      <c r="B78" s="651" t="s">
        <v>906</v>
      </c>
    </row>
    <row r="79" spans="2:11" hidden="1">
      <c r="B79" s="651" t="s">
        <v>907</v>
      </c>
    </row>
    <row r="80" spans="2:11" hidden="1">
      <c r="B80" s="651" t="s">
        <v>908</v>
      </c>
    </row>
    <row r="81" spans="2:2" hidden="1">
      <c r="B81" s="651" t="s">
        <v>909</v>
      </c>
    </row>
    <row r="82" spans="2:2" hidden="1">
      <c r="B82" s="651" t="s">
        <v>910</v>
      </c>
    </row>
    <row r="83" spans="2:2" hidden="1">
      <c r="B83" s="651" t="s">
        <v>911</v>
      </c>
    </row>
    <row r="84" spans="2:2" hidden="1"/>
    <row r="85" spans="2:2" hidden="1"/>
    <row r="86" spans="2:2" hidden="1"/>
    <row r="87" spans="2:2" hidden="1"/>
    <row r="93" spans="2:2">
      <c r="B93" s="631" t="str">
        <f>IF(AND(B123&lt;&gt;"",BE123=""),"Treba vyplniť podiel na plnení, ak sa určuje ďalšia osoba!",IF(AND(B123="",OR(AR123&lt;&gt;"",AY123&lt;&gt;"",BE123&lt;&gt;"")),"Ak je vyplnené RČ alebo podiel na plnení, treba vyplniť aj meno oprávnenej osoby!",IF(AND(B123&lt;&gt;"",ISERROR(MATCH(B123,$BR$141:$BR$152,0)),OR(AR123="",AY123="",BE123="")),"Ak je vyplnené meno oprávnenej osoby, treba vyplniť aj RČ a podiel na plnení!",IF(AND(B123&lt;&gt;"",ISERROR(MATCH(B123,$BR$141:$BR$152,0))=FALSE,OR(AR123&lt;&gt;"",AY123&lt;&gt;"")),"Ak sa oprávnená osoba určuje vzťahom k poistenému, RČ sa nevypĺňa!",IF(AND(OR(AR123&lt;&gt;"",AY123&lt;&gt;""),BR134&lt;&gt;"OK"),BR134&amp;" "&amp;IF(ISERR(BS134),"",BS134),"")))))</f>
        <v/>
      </c>
    </row>
  </sheetData>
  <sheetProtection algorithmName="SHA-512" hashValue="JH5bdMjopvPYprNOnU9MnVsTFjfodG6Rmpej1Olrb5Y9e5WO++eRwtQGWIklVDQHgXErKjAaIYY7nwb25D13zQ==" saltValue="ZobavEdG3JS4KagteJVRRw==" spinCount="100000" sheet="1" objects="1" scenarios="1"/>
  <dataConsolidate/>
  <mergeCells count="45">
    <mergeCell ref="C2:D2"/>
    <mergeCell ref="C3:D3"/>
    <mergeCell ref="F3:R3"/>
    <mergeCell ref="F40:H45"/>
    <mergeCell ref="C6:D6"/>
    <mergeCell ref="C7:D7"/>
    <mergeCell ref="C10:D10"/>
    <mergeCell ref="C11:D11"/>
    <mergeCell ref="C20:D20"/>
    <mergeCell ref="C19:D19"/>
    <mergeCell ref="C14:D14"/>
    <mergeCell ref="C12:D12"/>
    <mergeCell ref="C15:D15"/>
    <mergeCell ref="C16:D16"/>
    <mergeCell ref="C17:D17"/>
    <mergeCell ref="C23:D23"/>
    <mergeCell ref="C18:D18"/>
    <mergeCell ref="C22:D22"/>
    <mergeCell ref="C28:D28"/>
    <mergeCell ref="C25:D25"/>
    <mergeCell ref="C21:D21"/>
    <mergeCell ref="C38:D38"/>
    <mergeCell ref="C34:D34"/>
    <mergeCell ref="C35:D35"/>
    <mergeCell ref="C60:D60"/>
    <mergeCell ref="C29:D29"/>
    <mergeCell ref="C30:D30"/>
    <mergeCell ref="C33:D33"/>
    <mergeCell ref="C36:D36"/>
    <mergeCell ref="C66:D66"/>
    <mergeCell ref="C32:D32"/>
    <mergeCell ref="C48:D48"/>
    <mergeCell ref="C45:D45"/>
    <mergeCell ref="C40:D40"/>
    <mergeCell ref="C41:D41"/>
    <mergeCell ref="C52:D52"/>
    <mergeCell ref="C53:D53"/>
    <mergeCell ref="C56:D56"/>
    <mergeCell ref="C57:D57"/>
    <mergeCell ref="C44:D44"/>
    <mergeCell ref="C46:D46"/>
    <mergeCell ref="C47:D47"/>
    <mergeCell ref="C39:D39"/>
    <mergeCell ref="C49:D49"/>
    <mergeCell ref="C37:D37"/>
  </mergeCells>
  <conditionalFormatting sqref="I15">
    <cfRule type="expression" dxfId="79" priority="49" stopIfTrue="1">
      <formula>$I$15="OK"</formula>
    </cfRule>
  </conditionalFormatting>
  <conditionalFormatting sqref="I19">
    <cfRule type="expression" dxfId="78" priority="48" stopIfTrue="1">
      <formula>$I$19="OK"</formula>
    </cfRule>
  </conditionalFormatting>
  <conditionalFormatting sqref="C28 C29 C31 D31 C38">
    <cfRule type="expression" dxfId="77" priority="47" stopIfTrue="1">
      <formula>$C$7="nie"</formula>
    </cfRule>
  </conditionalFormatting>
  <conditionalFormatting sqref="C13:C14 C32">
    <cfRule type="expression" dxfId="76" priority="46" stopIfTrue="1">
      <formula>$D$7="nie"</formula>
    </cfRule>
  </conditionalFormatting>
  <conditionalFormatting sqref="E63 E69">
    <cfRule type="expression" dxfId="75" priority="45" stopIfTrue="1">
      <formula>$AR$35&lt;&gt;""</formula>
    </cfRule>
  </conditionalFormatting>
  <conditionalFormatting sqref="E62 E68">
    <cfRule type="expression" dxfId="74" priority="44" stopIfTrue="1">
      <formula>$AR$34&lt;&gt;""</formula>
    </cfRule>
  </conditionalFormatting>
  <conditionalFormatting sqref="E61 F61:F63 E67 C67:D69 D61:D63 C62:C63">
    <cfRule type="expression" dxfId="73" priority="43" stopIfTrue="1">
      <formula>$AR$33&lt;&gt;""</formula>
    </cfRule>
  </conditionalFormatting>
  <conditionalFormatting sqref="F61 B61 D61">
    <cfRule type="expression" dxfId="72" priority="42" stopIfTrue="1">
      <formula>$G$61&lt;&gt;""</formula>
    </cfRule>
  </conditionalFormatting>
  <conditionalFormatting sqref="B63 C63 D63 F63">
    <cfRule type="expression" dxfId="71" priority="40" stopIfTrue="1">
      <formula>AND($A$61=3,$G$63&lt;&gt;"")</formula>
    </cfRule>
  </conditionalFormatting>
  <conditionalFormatting sqref="E2">
    <cfRule type="cellIs" dxfId="70" priority="33" stopIfTrue="1" operator="equal">
      <formula>"CHYBA!"</formula>
    </cfRule>
  </conditionalFormatting>
  <conditionalFormatting sqref="E53">
    <cfRule type="expression" dxfId="69" priority="30" stopIfTrue="1">
      <formula>$F$53&lt;&gt;""</formula>
    </cfRule>
  </conditionalFormatting>
  <conditionalFormatting sqref="C21:D21">
    <cfRule type="expression" dxfId="68" priority="29">
      <formula>$E$21&lt;&gt;""</formula>
    </cfRule>
  </conditionalFormatting>
  <conditionalFormatting sqref="C44:D44">
    <cfRule type="expression" dxfId="67" priority="28">
      <formula>$E$44&lt;&gt;""</formula>
    </cfRule>
  </conditionalFormatting>
  <conditionalFormatting sqref="C45:D45">
    <cfRule type="expression" dxfId="66" priority="27">
      <formula>$E$45&lt;&gt;""</formula>
    </cfRule>
  </conditionalFormatting>
  <conditionalFormatting sqref="C46:D46">
    <cfRule type="expression" dxfId="65" priority="19">
      <formula>$E$46&lt;&gt;""</formula>
    </cfRule>
    <cfRule type="expression" dxfId="64" priority="25">
      <formula>$E$46&lt;&gt;""</formula>
    </cfRule>
  </conditionalFormatting>
  <conditionalFormatting sqref="C47:D47">
    <cfRule type="expression" dxfId="63" priority="24">
      <formula>$E$47&lt;&gt;""</formula>
    </cfRule>
  </conditionalFormatting>
  <conditionalFormatting sqref="C48:D48">
    <cfRule type="expression" dxfId="62" priority="23">
      <formula>$E$48&lt;&gt;""</formula>
    </cfRule>
  </conditionalFormatting>
  <conditionalFormatting sqref="C49:D49">
    <cfRule type="expression" dxfId="61" priority="22">
      <formula>$E$49&lt;&gt;""</formula>
    </cfRule>
  </conditionalFormatting>
  <conditionalFormatting sqref="C56:D56">
    <cfRule type="expression" dxfId="60" priority="21">
      <formula>$E$56&lt;&gt;""</formula>
    </cfRule>
  </conditionalFormatting>
  <conditionalFormatting sqref="C57:D57">
    <cfRule type="expression" dxfId="59" priority="20">
      <formula>$E$57&lt;&gt;""</formula>
    </cfRule>
  </conditionalFormatting>
  <conditionalFormatting sqref="B67 C67 D67 E67">
    <cfRule type="expression" dxfId="58" priority="18" stopIfTrue="1">
      <formula>$F$67&lt;&gt;""</formula>
    </cfRule>
  </conditionalFormatting>
  <conditionalFormatting sqref="F40:H45">
    <cfRule type="expression" dxfId="57" priority="15" stopIfTrue="1">
      <formula>$F$40&lt;&gt;""</formula>
    </cfRule>
  </conditionalFormatting>
  <conditionalFormatting sqref="C23:D23">
    <cfRule type="expression" dxfId="56" priority="14">
      <formula>$E$23&lt;&gt;""</formula>
    </cfRule>
  </conditionalFormatting>
  <conditionalFormatting sqref="C2:D2">
    <cfRule type="cellIs" dxfId="55" priority="13" stopIfTrue="1" operator="equal">
      <formula>"CHYBA!"</formula>
    </cfRule>
  </conditionalFormatting>
  <conditionalFormatting sqref="C33:D33">
    <cfRule type="expression" dxfId="54" priority="12">
      <formula>$C$7="nie"</formula>
    </cfRule>
  </conditionalFormatting>
  <conditionalFormatting sqref="C34:D34">
    <cfRule type="expression" dxfId="53" priority="11">
      <formula>$C$7="nie"</formula>
    </cfRule>
  </conditionalFormatting>
  <conditionalFormatting sqref="C35:D35">
    <cfRule type="expression" dxfId="52" priority="10">
      <formula>$C$7="nie"</formula>
    </cfRule>
  </conditionalFormatting>
  <conditionalFormatting sqref="C20:D20">
    <cfRule type="expression" dxfId="51" priority="9">
      <formula>$E$20&lt;&gt;""</formula>
    </cfRule>
  </conditionalFormatting>
  <conditionalFormatting sqref="B62 C62 D62 F62">
    <cfRule type="expression" dxfId="50" priority="8" stopIfTrue="1">
      <formula>$G$62&lt;&gt;""</formula>
    </cfRule>
  </conditionalFormatting>
  <conditionalFormatting sqref="C61">
    <cfRule type="expression" dxfId="49" priority="2" stopIfTrue="1">
      <formula>$AR$33&lt;&gt;""</formula>
    </cfRule>
  </conditionalFormatting>
  <conditionalFormatting sqref="C61">
    <cfRule type="expression" dxfId="48" priority="1" stopIfTrue="1">
      <formula>$G$61&lt;&gt;""</formula>
    </cfRule>
  </conditionalFormatting>
  <dataValidations count="11">
    <dataValidation type="list" allowBlank="1" showInputMessage="1" showErrorMessage="1" sqref="C7:D7" xr:uid="{00000000-0002-0000-0400-000000000000}">
      <formula1>"áno,nie,nie(poistené je iba dieťa/deti)"</formula1>
    </dataValidation>
    <dataValidation type="list" allowBlank="1" sqref="C20:D20" xr:uid="{00000000-0002-0000-0400-000001000000}">
      <formula1>"@"</formula1>
    </dataValidation>
    <dataValidation type="list" allowBlank="1" sqref="C38:D38" xr:uid="{00000000-0002-0000-0400-000002000000}">
      <formula1>"SR"</formula1>
    </dataValidation>
    <dataValidation type="list" allowBlank="1" showInputMessage="1" showErrorMessage="1" sqref="F61:F63" xr:uid="{00000000-0002-0000-0400-000003000000}">
      <formula1>"SR"</formula1>
    </dataValidation>
    <dataValidation type="list" allowBlank="1" showInputMessage="1" sqref="B67:B69" xr:uid="{00000000-0002-0000-0400-000004000000}">
      <formula1>"zatiaľ neurčujem,manžel,manželka,deti,syn,dcéra,rodičia,otec,matka,súrodenci,brat,sestra"</formula1>
    </dataValidation>
    <dataValidation type="list" allowBlank="1" showInputMessage="1" sqref="C21:D21" xr:uid="{00000000-0002-0000-0400-000005000000}">
      <formula1>"SR"</formula1>
    </dataValidation>
    <dataValidation type="list" allowBlank="1" showInputMessage="1" sqref="C48:D48" xr:uid="{00000000-0002-0000-0400-000006000000}">
      <formula1>"rekreačne,súťažne,registrovené v oddiely(klube)"</formula1>
    </dataValidation>
    <dataValidation type="list" allowBlank="1" showInputMessage="1" sqref="C37:D37 E54:E55" xr:uid="{00000000-0002-0000-0400-000007000000}">
      <formula1>"@"</formula1>
    </dataValidation>
    <dataValidation type="list" allowBlank="1" showInputMessage="1" sqref="C47:D47" xr:uid="{00000000-0002-0000-0400-000008000000}">
      <formula1>"žiadna"</formula1>
    </dataValidation>
    <dataValidation allowBlank="1" showInputMessage="1" sqref="E56:E57" xr:uid="{00000000-0002-0000-0400-000009000000}"/>
    <dataValidation type="list" allowBlank="1" showInputMessage="1" showErrorMessage="1" sqref="C46:D46 C49:D49" xr:uid="{00000000-0002-0000-0400-00000A000000}">
      <formula1>"1,2,3,4,"</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06" r:id="rId4" name="Button 22">
              <controlPr defaultSize="0" print="0" autoFill="0" autoPict="0" macro="[0]!Vymazať_udaje">
                <anchor moveWithCells="1" sizeWithCells="1">
                  <from>
                    <xdr:col>0</xdr:col>
                    <xdr:colOff>1303020</xdr:colOff>
                    <xdr:row>1</xdr:row>
                    <xdr:rowOff>0</xdr:rowOff>
                  </from>
                  <to>
                    <xdr:col>1</xdr:col>
                    <xdr:colOff>1592580</xdr:colOff>
                    <xdr:row>3</xdr:row>
                    <xdr:rowOff>60960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2">
    <pageSetUpPr fitToPage="1"/>
  </sheetPr>
  <dimension ref="B2:BJ81"/>
  <sheetViews>
    <sheetView zoomScale="110" zoomScaleNormal="110" workbookViewId="0">
      <selection activeCell="AK27" sqref="AK27"/>
    </sheetView>
  </sheetViews>
  <sheetFormatPr defaultColWidth="9.109375" defaultRowHeight="13.2"/>
  <cols>
    <col min="1" max="1" width="2.6640625" style="631" customWidth="1"/>
    <col min="2" max="2" width="0.6640625" style="631" customWidth="1"/>
    <col min="3" max="56" width="1.88671875" style="631" customWidth="1"/>
    <col min="57" max="57" width="0.6640625" style="631" customWidth="1"/>
    <col min="58" max="61" width="1.88671875" style="631" customWidth="1"/>
    <col min="62" max="16384" width="9.109375" style="631"/>
  </cols>
  <sheetData>
    <row r="2" spans="2:57" ht="15.6" customHeight="1">
      <c r="B2" s="684"/>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4"/>
      <c r="AK2" s="684"/>
      <c r="AL2" s="684"/>
      <c r="AM2" s="684"/>
      <c r="AN2" s="687"/>
      <c r="AO2" s="684"/>
      <c r="AP2" s="684"/>
      <c r="AQ2" s="685"/>
      <c r="AR2" s="686"/>
      <c r="AS2" s="1008"/>
      <c r="AT2" s="686"/>
      <c r="AU2" s="1008" t="s">
        <v>892</v>
      </c>
      <c r="AV2" s="1412" t="str">
        <f ca="1">IF(AND(Poistné!F3="O.K.",Osobne_udaje!E2="O.K."),IF(Osobne_udaje!C6&gt;0,CONCATENATE(" ",Osobne_udaje!C6,),""),"?")</f>
        <v>?</v>
      </c>
      <c r="AW2" s="1412"/>
      <c r="AX2" s="1412"/>
      <c r="AY2" s="1412"/>
      <c r="AZ2" s="1412"/>
      <c r="BA2" s="1412"/>
      <c r="BB2" s="1412"/>
      <c r="BC2" s="686"/>
      <c r="BD2" s="686"/>
    </row>
    <row r="3" spans="2:57" ht="24.75" customHeight="1">
      <c r="B3" s="688"/>
      <c r="C3" s="688"/>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974" t="s">
        <v>618</v>
      </c>
      <c r="AD3" s="688"/>
      <c r="AE3" s="688"/>
      <c r="AF3" s="688"/>
      <c r="AG3" s="688"/>
      <c r="AH3" s="688"/>
      <c r="AI3" s="688"/>
      <c r="AJ3" s="688"/>
      <c r="AK3" s="688"/>
      <c r="AL3" s="688"/>
      <c r="AM3" s="688"/>
      <c r="AN3" s="688"/>
      <c r="AO3" s="688"/>
      <c r="AP3" s="688"/>
      <c r="AQ3" s="684"/>
      <c r="AR3" s="684"/>
      <c r="AS3" s="684"/>
      <c r="AT3" s="684"/>
      <c r="AU3" s="684"/>
      <c r="AV3" s="975"/>
      <c r="AW3" s="975"/>
      <c r="AX3" s="975"/>
      <c r="AY3" s="975"/>
      <c r="AZ3" s="975"/>
      <c r="BA3" s="975"/>
      <c r="BB3" s="684"/>
      <c r="BC3" s="688"/>
      <c r="BD3" s="688"/>
    </row>
    <row r="4" spans="2:57" ht="13.5" customHeight="1">
      <c r="B4" s="684"/>
      <c r="C4" s="684"/>
      <c r="D4" s="684"/>
      <c r="E4" s="684"/>
      <c r="F4" s="684"/>
      <c r="G4" s="684"/>
      <c r="H4" s="684"/>
      <c r="I4" s="684"/>
      <c r="J4" s="684"/>
      <c r="K4" s="684"/>
      <c r="L4" s="684"/>
      <c r="M4" s="684"/>
      <c r="N4" s="684"/>
      <c r="O4" s="684"/>
      <c r="P4" s="684"/>
      <c r="Q4" s="684"/>
      <c r="R4" s="684"/>
      <c r="S4" s="684"/>
      <c r="T4" s="684"/>
      <c r="U4" s="684"/>
      <c r="V4" s="684"/>
      <c r="W4" s="684"/>
      <c r="X4" s="684"/>
      <c r="Y4" s="684"/>
      <c r="Z4" s="684"/>
      <c r="AA4" s="684"/>
      <c r="AB4" s="684"/>
      <c r="AC4" s="689" t="s">
        <v>723</v>
      </c>
      <c r="AD4" s="684"/>
      <c r="AE4" s="684"/>
      <c r="AF4" s="684"/>
      <c r="AG4" s="684"/>
      <c r="AH4" s="684"/>
      <c r="AI4" s="684"/>
      <c r="AJ4" s="684"/>
      <c r="AK4" s="684"/>
      <c r="AL4" s="684"/>
      <c r="AM4" s="684"/>
      <c r="AN4" s="684"/>
      <c r="AO4" s="684"/>
      <c r="AP4" s="684"/>
      <c r="AQ4" s="684"/>
      <c r="AR4" s="684"/>
      <c r="AS4" s="684"/>
      <c r="AT4" s="684"/>
      <c r="AU4" s="684"/>
      <c r="AV4" s="684"/>
      <c r="AW4" s="684"/>
      <c r="AX4" s="684"/>
      <c r="AY4" s="684"/>
      <c r="AZ4" s="684"/>
      <c r="BA4" s="684"/>
      <c r="BB4" s="684"/>
      <c r="BC4" s="684"/>
      <c r="BD4" s="684"/>
    </row>
    <row r="5" spans="2:57" ht="16.8" customHeight="1">
      <c r="B5" s="684"/>
      <c r="C5" s="684"/>
      <c r="D5" s="684"/>
      <c r="E5" s="684"/>
      <c r="F5" s="684"/>
      <c r="G5" s="684"/>
      <c r="H5" s="684"/>
      <c r="I5" s="684"/>
      <c r="J5" s="684"/>
      <c r="K5" s="684"/>
      <c r="L5" s="684"/>
      <c r="M5" s="684"/>
      <c r="N5" s="684"/>
      <c r="O5" s="684"/>
      <c r="P5" s="684"/>
      <c r="Q5" s="684"/>
      <c r="R5" s="684"/>
      <c r="S5" s="684"/>
      <c r="T5" s="684"/>
      <c r="U5" s="684"/>
      <c r="V5" s="684"/>
      <c r="W5" s="684"/>
      <c r="X5" s="684"/>
      <c r="Y5" s="684"/>
      <c r="Z5" s="684"/>
      <c r="AA5" s="684"/>
      <c r="AB5" s="684"/>
      <c r="AC5" s="684"/>
      <c r="AD5" s="684"/>
      <c r="AE5" s="684"/>
      <c r="AF5" s="684"/>
      <c r="AG5" s="684"/>
      <c r="AH5" s="684"/>
      <c r="AI5" s="684"/>
      <c r="AJ5" s="684"/>
      <c r="AK5" s="684"/>
      <c r="AL5" s="684"/>
      <c r="AM5" s="684"/>
      <c r="AN5" s="684"/>
      <c r="AO5" s="684"/>
      <c r="AP5" s="684"/>
      <c r="AQ5" s="684"/>
      <c r="AR5" s="684"/>
      <c r="AS5" s="684"/>
      <c r="AT5" s="684"/>
      <c r="AU5" s="684"/>
      <c r="AV5" s="684"/>
      <c r="AW5" s="684"/>
      <c r="AX5" s="684"/>
      <c r="AY5" s="684"/>
      <c r="AZ5" s="684"/>
      <c r="BA5" s="684"/>
      <c r="BB5" s="684"/>
      <c r="BC5" s="684"/>
      <c r="BD5" s="684"/>
    </row>
    <row r="6" spans="2:57" ht="27" customHeight="1">
      <c r="B6" s="1383" t="s">
        <v>925</v>
      </c>
      <c r="C6" s="1383"/>
      <c r="D6" s="1383"/>
      <c r="E6" s="1383"/>
      <c r="F6" s="1383"/>
      <c r="G6" s="1383"/>
      <c r="H6" s="1383"/>
      <c r="I6" s="1383"/>
      <c r="J6" s="1383"/>
      <c r="K6" s="1383"/>
      <c r="L6" s="1383"/>
      <c r="M6" s="1383"/>
      <c r="N6" s="1383"/>
      <c r="O6" s="1383"/>
      <c r="P6" s="1383"/>
      <c r="Q6" s="1383"/>
      <c r="R6" s="1383"/>
      <c r="S6" s="1383"/>
      <c r="T6" s="1383"/>
      <c r="U6" s="1383"/>
      <c r="V6" s="1383"/>
      <c r="W6" s="1383"/>
      <c r="X6" s="1383"/>
      <c r="Y6" s="1383"/>
      <c r="Z6" s="1383"/>
      <c r="AA6" s="1383"/>
      <c r="AB6" s="1383"/>
      <c r="AC6" s="1383"/>
      <c r="AD6" s="1383"/>
      <c r="AE6" s="1383"/>
      <c r="AF6" s="1383"/>
      <c r="AG6" s="1383"/>
      <c r="AH6" s="1383"/>
      <c r="AI6" s="1383"/>
      <c r="AJ6" s="1383"/>
      <c r="AK6" s="1383"/>
      <c r="AL6" s="1383"/>
      <c r="AM6" s="1383"/>
      <c r="AN6" s="1383"/>
      <c r="AO6" s="1383"/>
      <c r="AP6" s="1383"/>
      <c r="AQ6" s="1383"/>
      <c r="AR6" s="1383"/>
      <c r="AS6" s="1383"/>
      <c r="AT6" s="1383"/>
      <c r="AU6" s="1383"/>
      <c r="AV6" s="1383"/>
      <c r="AW6" s="1383"/>
      <c r="AX6" s="1383"/>
      <c r="AY6" s="1383"/>
      <c r="AZ6" s="1383"/>
      <c r="BA6" s="1383"/>
      <c r="BB6" s="1383"/>
      <c r="BC6" s="1383"/>
      <c r="BD6" s="1383"/>
      <c r="BE6" s="1383"/>
    </row>
    <row r="7" spans="2:57" ht="3" customHeight="1" thickBot="1">
      <c r="B7" s="684"/>
      <c r="C7" s="684"/>
      <c r="D7" s="684"/>
      <c r="E7" s="684"/>
      <c r="F7" s="684"/>
      <c r="G7" s="684"/>
      <c r="H7" s="684"/>
      <c r="I7" s="684"/>
      <c r="J7" s="684"/>
      <c r="K7" s="684"/>
      <c r="L7" s="684"/>
      <c r="M7" s="684"/>
      <c r="N7" s="684"/>
      <c r="O7" s="684"/>
      <c r="P7" s="684"/>
      <c r="Q7" s="684"/>
      <c r="R7" s="684"/>
      <c r="S7" s="684"/>
      <c r="T7" s="684"/>
      <c r="U7" s="684"/>
      <c r="V7" s="684"/>
      <c r="W7" s="684"/>
      <c r="X7" s="684"/>
      <c r="Y7" s="684"/>
      <c r="Z7" s="684"/>
      <c r="AA7" s="684"/>
      <c r="AB7" s="684"/>
      <c r="AC7" s="684"/>
      <c r="AD7" s="684"/>
      <c r="AE7" s="684"/>
      <c r="AF7" s="684"/>
      <c r="AG7" s="684"/>
      <c r="AH7" s="684"/>
      <c r="AI7" s="684"/>
      <c r="AJ7" s="684"/>
      <c r="AK7" s="684"/>
      <c r="AL7" s="684"/>
      <c r="AM7" s="684"/>
      <c r="AN7" s="684"/>
      <c r="AO7" s="684"/>
      <c r="AP7" s="684"/>
      <c r="AQ7" s="684"/>
      <c r="AR7" s="684"/>
      <c r="AS7" s="684"/>
      <c r="AT7" s="684"/>
      <c r="AU7" s="684"/>
      <c r="AV7" s="684"/>
      <c r="AW7" s="684"/>
      <c r="AX7" s="684"/>
      <c r="AY7" s="684"/>
      <c r="AZ7" s="684"/>
      <c r="BA7" s="684"/>
      <c r="BB7" s="684"/>
      <c r="BC7" s="684"/>
      <c r="BD7" s="684"/>
    </row>
    <row r="8" spans="2:57" ht="3" customHeight="1">
      <c r="B8" s="690"/>
      <c r="C8" s="691"/>
      <c r="D8" s="691"/>
      <c r="E8" s="691"/>
      <c r="F8" s="691"/>
      <c r="G8" s="691"/>
      <c r="H8" s="691"/>
      <c r="I8" s="691"/>
      <c r="J8" s="691"/>
      <c r="K8" s="691"/>
      <c r="L8" s="691"/>
      <c r="M8" s="691"/>
      <c r="N8" s="691"/>
      <c r="O8" s="691"/>
      <c r="P8" s="691"/>
      <c r="Q8" s="691"/>
      <c r="R8" s="691"/>
      <c r="S8" s="691"/>
      <c r="T8" s="691"/>
      <c r="U8" s="691"/>
      <c r="V8" s="691"/>
      <c r="W8" s="691"/>
      <c r="X8" s="691"/>
      <c r="Y8" s="691"/>
      <c r="Z8" s="691"/>
      <c r="AA8" s="691"/>
      <c r="AB8" s="691"/>
      <c r="AC8" s="691"/>
      <c r="AD8" s="691"/>
      <c r="AE8" s="691"/>
      <c r="AF8" s="691"/>
      <c r="AG8" s="691"/>
      <c r="AH8" s="691"/>
      <c r="AI8" s="691"/>
      <c r="AJ8" s="691"/>
      <c r="AK8" s="691"/>
      <c r="AL8" s="691"/>
      <c r="AM8" s="691"/>
      <c r="AN8" s="691"/>
      <c r="AO8" s="691"/>
      <c r="AP8" s="691"/>
      <c r="AQ8" s="691"/>
      <c r="AR8" s="691"/>
      <c r="AS8" s="691"/>
      <c r="AT8" s="691"/>
      <c r="AU8" s="691"/>
      <c r="AV8" s="691"/>
      <c r="AW8" s="691"/>
      <c r="AX8" s="691"/>
      <c r="AY8" s="691"/>
      <c r="AZ8" s="691"/>
      <c r="BA8" s="691"/>
      <c r="BB8" s="691"/>
      <c r="BC8" s="691"/>
      <c r="BD8" s="691"/>
      <c r="BE8" s="705"/>
    </row>
    <row r="9" spans="2:57" ht="13.5" customHeight="1">
      <c r="B9" s="692"/>
      <c r="C9" s="712" t="s">
        <v>759</v>
      </c>
      <c r="D9" s="713"/>
      <c r="E9" s="713"/>
      <c r="F9" s="713"/>
      <c r="G9" s="713"/>
      <c r="H9" s="713"/>
      <c r="I9" s="713"/>
      <c r="J9" s="713"/>
      <c r="K9" s="713"/>
      <c r="L9" s="713"/>
      <c r="M9" s="713"/>
      <c r="N9" s="713"/>
      <c r="O9" s="713"/>
      <c r="P9" s="713"/>
      <c r="Q9" s="713"/>
      <c r="R9" s="713"/>
      <c r="S9" s="713"/>
      <c r="T9" s="713"/>
      <c r="U9" s="713"/>
      <c r="V9" s="713"/>
      <c r="W9" s="713"/>
      <c r="X9" s="713"/>
      <c r="Y9" s="717" t="s">
        <v>760</v>
      </c>
      <c r="Z9" s="714" t="str">
        <f ca="1">IF(AND(test="O.K.",test_1="O.K."),IF(Osobne_udaje!C7="áno","X",""),"?")</f>
        <v>?</v>
      </c>
      <c r="AA9" s="715" t="s">
        <v>709</v>
      </c>
      <c r="AB9" s="713"/>
      <c r="AC9" s="713"/>
      <c r="AD9" s="714" t="str">
        <f ca="1">IF(AND(test="O.K.",test_1="O.K."),IF(OR(Osobne_udaje!C7="nie",Osobne_udaje!C7="nie(poistené je iba dieťa/deti)"),"X",""),"")</f>
        <v/>
      </c>
      <c r="AE9" s="715" t="s">
        <v>688</v>
      </c>
      <c r="AF9" s="713"/>
      <c r="AG9" s="713"/>
      <c r="AH9" s="713"/>
      <c r="AI9" s="713"/>
      <c r="AJ9" s="713"/>
      <c r="AK9" s="713"/>
      <c r="AL9" s="713"/>
      <c r="AM9" s="713"/>
      <c r="AN9" s="713"/>
      <c r="AO9" s="713"/>
      <c r="AP9" s="713"/>
      <c r="AQ9" s="713"/>
      <c r="AR9" s="713"/>
      <c r="AS9" s="713"/>
      <c r="AT9" s="713"/>
      <c r="AU9" s="713"/>
      <c r="AV9" s="713"/>
      <c r="AW9" s="713"/>
      <c r="AX9" s="713"/>
      <c r="AY9" s="713"/>
      <c r="AZ9" s="713"/>
      <c r="BA9" s="713"/>
      <c r="BB9" s="713"/>
      <c r="BC9" s="716" t="s">
        <v>724</v>
      </c>
      <c r="BD9" s="713"/>
      <c r="BE9" s="706"/>
    </row>
    <row r="10" spans="2:57" ht="3" customHeight="1" thickBot="1">
      <c r="B10" s="693"/>
      <c r="C10" s="694"/>
      <c r="D10" s="694"/>
      <c r="E10" s="694"/>
      <c r="F10" s="694"/>
      <c r="G10" s="694"/>
      <c r="H10" s="694"/>
      <c r="I10" s="694"/>
      <c r="J10" s="694"/>
      <c r="K10" s="694"/>
      <c r="L10" s="694"/>
      <c r="M10" s="694"/>
      <c r="N10" s="694"/>
      <c r="O10" s="694"/>
      <c r="P10" s="694"/>
      <c r="Q10" s="694"/>
      <c r="R10" s="694"/>
      <c r="S10" s="694"/>
      <c r="T10" s="694"/>
      <c r="U10" s="694"/>
      <c r="V10" s="694"/>
      <c r="W10" s="694"/>
      <c r="X10" s="694"/>
      <c r="Y10" s="694"/>
      <c r="Z10" s="694"/>
      <c r="AA10" s="694"/>
      <c r="AB10" s="694"/>
      <c r="AC10" s="694"/>
      <c r="AD10" s="694"/>
      <c r="AE10" s="694"/>
      <c r="AF10" s="694"/>
      <c r="AG10" s="694"/>
      <c r="AH10" s="694"/>
      <c r="AI10" s="694"/>
      <c r="AJ10" s="694"/>
      <c r="AK10" s="694"/>
      <c r="AL10" s="694"/>
      <c r="AM10" s="694"/>
      <c r="AN10" s="694"/>
      <c r="AO10" s="694"/>
      <c r="AP10" s="694"/>
      <c r="AQ10" s="694"/>
      <c r="AR10" s="694"/>
      <c r="AS10" s="694"/>
      <c r="AT10" s="694"/>
      <c r="AU10" s="694"/>
      <c r="AV10" s="694"/>
      <c r="AW10" s="694"/>
      <c r="AX10" s="694"/>
      <c r="AY10" s="694"/>
      <c r="AZ10" s="694"/>
      <c r="BA10" s="694"/>
      <c r="BB10" s="694"/>
      <c r="BC10" s="694"/>
      <c r="BD10" s="694"/>
      <c r="BE10" s="707"/>
    </row>
    <row r="11" spans="2:57" ht="24.9" customHeight="1">
      <c r="B11" s="718"/>
      <c r="C11" s="719" t="s">
        <v>40</v>
      </c>
      <c r="D11" s="720"/>
      <c r="E11" s="720"/>
      <c r="F11" s="720"/>
      <c r="G11" s="720"/>
      <c r="H11" s="1384" t="str">
        <f ca="1">IF(AND(test="O.K.",test_1="O.K."),IF(Osobne_udaje!C10&gt;0,UPPER(Osobne_udaje!C10),""),"?")</f>
        <v>?</v>
      </c>
      <c r="I11" s="1384"/>
      <c r="J11" s="1384"/>
      <c r="K11" s="1384"/>
      <c r="L11" s="1384"/>
      <c r="M11" s="1384"/>
      <c r="N11" s="1384"/>
      <c r="O11" s="1384"/>
      <c r="P11" s="1384"/>
      <c r="Q11" s="1384"/>
      <c r="R11" s="1384"/>
      <c r="S11" s="1384"/>
      <c r="T11" s="1384"/>
      <c r="U11" s="1384"/>
      <c r="V11" s="1397"/>
      <c r="W11" s="721" t="s">
        <v>41</v>
      </c>
      <c r="X11" s="720"/>
      <c r="Y11" s="720"/>
      <c r="Z11" s="1384" t="str">
        <f ca="1">IF(AND(test="O.K.",test_1="O.K."),IF(Osobne_udaje!C11&gt;0,UPPER(Osobne_udaje!C11),""),"?")</f>
        <v>?</v>
      </c>
      <c r="AA11" s="1384"/>
      <c r="AB11" s="1384"/>
      <c r="AC11" s="1384"/>
      <c r="AD11" s="1384"/>
      <c r="AE11" s="1384"/>
      <c r="AF11" s="1384"/>
      <c r="AG11" s="1384"/>
      <c r="AH11" s="1384"/>
      <c r="AI11" s="1384"/>
      <c r="AJ11" s="721" t="s">
        <v>761</v>
      </c>
      <c r="AK11" s="721"/>
      <c r="AL11" s="719"/>
      <c r="AM11" s="1384" t="str">
        <f ca="1">IF(AND(test="O.K.",test_1="O.K."),IF(Osobne_udaje!C12&gt;0,UPPER(Osobne_udaje!C12),""),"?")</f>
        <v>?</v>
      </c>
      <c r="AN11" s="1384"/>
      <c r="AO11" s="1384"/>
      <c r="AP11" s="1384"/>
      <c r="AQ11" s="1384"/>
      <c r="AR11" s="1397"/>
      <c r="AS11" s="721" t="s">
        <v>762</v>
      </c>
      <c r="AT11" s="719"/>
      <c r="AU11" s="720"/>
      <c r="AV11" s="720"/>
      <c r="AW11" s="1384" t="str">
        <f ca="1">IF(AND(test="O.K.",test_1="O.K."),IF(Osobne_udaje!C23&gt;0,Osobne_udaje!C23,""),"?")</f>
        <v>?</v>
      </c>
      <c r="AX11" s="1384"/>
      <c r="AY11" s="1384"/>
      <c r="AZ11" s="1384"/>
      <c r="BA11" s="1384"/>
      <c r="BB11" s="1384"/>
      <c r="BC11" s="1384"/>
      <c r="BD11" s="1384"/>
      <c r="BE11" s="722"/>
    </row>
    <row r="12" spans="2:57" ht="24.9" customHeight="1">
      <c r="B12" s="723"/>
      <c r="C12" s="724" t="s">
        <v>43</v>
      </c>
      <c r="D12" s="724"/>
      <c r="E12" s="724"/>
      <c r="F12" s="724"/>
      <c r="G12" s="724"/>
      <c r="H12" s="724"/>
      <c r="I12" s="724"/>
      <c r="J12" s="724"/>
      <c r="K12" s="724"/>
      <c r="L12" s="724"/>
      <c r="M12" s="724"/>
      <c r="N12" s="1389" t="str">
        <f ca="1">IF(AND(test="O.K.",test_1="O.K."),IF(Osobne_udaje!C16&gt;0,UPPER(Osobne_udaje!C16),""),"?")</f>
        <v>?</v>
      </c>
      <c r="O12" s="1389"/>
      <c r="P12" s="1389"/>
      <c r="Q12" s="1389"/>
      <c r="R12" s="1389"/>
      <c r="S12" s="1389"/>
      <c r="T12" s="1389"/>
      <c r="U12" s="1389"/>
      <c r="V12" s="1389"/>
      <c r="W12" s="1389"/>
      <c r="X12" s="1389"/>
      <c r="Y12" s="1389"/>
      <c r="Z12" s="1389"/>
      <c r="AA12" s="1389"/>
      <c r="AB12" s="1389"/>
      <c r="AC12" s="1389"/>
      <c r="AD12" s="1389"/>
      <c r="AE12" s="1389"/>
      <c r="AF12" s="1390"/>
      <c r="AG12" s="725" t="s">
        <v>44</v>
      </c>
      <c r="AH12" s="724"/>
      <c r="AI12" s="792"/>
      <c r="AJ12" s="1389" t="str">
        <f ca="1">IF(AND(test="O.K.",test_1="O.K."),IF(Osobne_udaje!C17&gt;0,UPPER(Osobne_udaje!C17),""),"?")</f>
        <v>?</v>
      </c>
      <c r="AK12" s="1389"/>
      <c r="AL12" s="1389"/>
      <c r="AM12" s="1389"/>
      <c r="AN12" s="1389"/>
      <c r="AO12" s="1389"/>
      <c r="AP12" s="1389"/>
      <c r="AQ12" s="1389"/>
      <c r="AR12" s="1389"/>
      <c r="AS12" s="1389"/>
      <c r="AT12" s="1389"/>
      <c r="AU12" s="1390"/>
      <c r="AV12" s="725" t="s">
        <v>45</v>
      </c>
      <c r="AW12" s="724"/>
      <c r="AX12" s="1389" t="str">
        <f ca="1">IF(AND(test="O.K.",test_1="O.K."),IF(Osobne_udaje!C18&gt;0,Osobne_udaje!C18,""),"?")</f>
        <v>?</v>
      </c>
      <c r="AY12" s="1389"/>
      <c r="AZ12" s="1389"/>
      <c r="BA12" s="1389"/>
      <c r="BB12" s="1389"/>
      <c r="BC12" s="1389"/>
      <c r="BD12" s="1389"/>
      <c r="BE12" s="726"/>
    </row>
    <row r="13" spans="2:57" ht="24.9" customHeight="1">
      <c r="B13" s="727"/>
      <c r="C13" s="1398" t="s">
        <v>836</v>
      </c>
      <c r="D13" s="1398"/>
      <c r="E13" s="1398"/>
      <c r="F13" s="1398"/>
      <c r="G13" s="1398"/>
      <c r="H13" s="1398"/>
      <c r="I13" s="1398"/>
      <c r="J13" s="1398"/>
      <c r="K13" s="1398"/>
      <c r="L13" s="1398"/>
      <c r="M13" s="1398"/>
      <c r="N13" s="1398"/>
      <c r="O13" s="1398"/>
      <c r="P13" s="1398"/>
      <c r="Q13" s="1398"/>
      <c r="R13" s="1398"/>
      <c r="S13" s="1398"/>
      <c r="T13" s="1389" t="str">
        <f ca="1">IF(AND(test="O.K.",test_1="O.K."),IF(Osobne_udaje!E16&gt;0,UPPER(Osobne_udaje!E16),""),"?")</f>
        <v>?</v>
      </c>
      <c r="U13" s="1389"/>
      <c r="V13" s="1389"/>
      <c r="W13" s="1389"/>
      <c r="X13" s="1389"/>
      <c r="Y13" s="1389"/>
      <c r="Z13" s="1389"/>
      <c r="AA13" s="1389"/>
      <c r="AB13" s="1389"/>
      <c r="AC13" s="1389"/>
      <c r="AD13" s="1389"/>
      <c r="AE13" s="1389"/>
      <c r="AF13" s="1389"/>
      <c r="AG13" s="725" t="s">
        <v>763</v>
      </c>
      <c r="AH13" s="724"/>
      <c r="AI13" s="724"/>
      <c r="AJ13" s="1389" t="str">
        <f ca="1">IF(AND(test="O.K.",test_1="O.K."),IF(Osobne_udaje!E17&gt;0,UPPER(Osobne_udaje!E17),""),"?")</f>
        <v>?</v>
      </c>
      <c r="AK13" s="1389"/>
      <c r="AL13" s="1389"/>
      <c r="AM13" s="1389"/>
      <c r="AN13" s="1389"/>
      <c r="AO13" s="1389"/>
      <c r="AP13" s="1389"/>
      <c r="AQ13" s="1389"/>
      <c r="AR13" s="1389"/>
      <c r="AS13" s="1389"/>
      <c r="AT13" s="1389"/>
      <c r="AU13" s="1390"/>
      <c r="AV13" s="725" t="s">
        <v>764</v>
      </c>
      <c r="AW13" s="724"/>
      <c r="AX13" s="724"/>
      <c r="AY13" s="1389" t="str">
        <f ca="1">IF(AND(test="O.K.",test_1="O.K."),IF(Osobne_udaje!E18&gt;0,Osobne_udaje!E18,""),"?")</f>
        <v>?</v>
      </c>
      <c r="AZ13" s="1389"/>
      <c r="BA13" s="1389"/>
      <c r="BB13" s="1389"/>
      <c r="BC13" s="1389"/>
      <c r="BD13" s="1389"/>
      <c r="BE13" s="726"/>
    </row>
    <row r="14" spans="2:57" ht="24.9" customHeight="1">
      <c r="B14" s="729"/>
      <c r="C14" s="724" t="s">
        <v>765</v>
      </c>
      <c r="D14" s="724"/>
      <c r="E14" s="724"/>
      <c r="F14" s="724"/>
      <c r="G14" s="1399" t="str">
        <f ca="1">IF(AND(test="O.K.",test_1="O.K."),IF(Osobne_udaje!C19&gt;0,Osobne_udaje!C19,""),"?")</f>
        <v>?</v>
      </c>
      <c r="H14" s="1399"/>
      <c r="I14" s="1399"/>
      <c r="J14" s="1399"/>
      <c r="K14" s="1399"/>
      <c r="L14" s="1399"/>
      <c r="M14" s="1399"/>
      <c r="N14" s="1399"/>
      <c r="O14" s="1399"/>
      <c r="P14" s="1399"/>
      <c r="Q14" s="725" t="s">
        <v>696</v>
      </c>
      <c r="R14" s="792"/>
      <c r="S14" s="724"/>
      <c r="T14" s="724"/>
      <c r="U14" s="724"/>
      <c r="V14" s="724"/>
      <c r="W14" s="724"/>
      <c r="X14" s="1389" t="str">
        <f ca="1">IF(AND(test="O.K.",test_1="O.K."),IF(Osobne_udaje!C21&gt;0,UPPER(Osobne_udaje!C21),""),"?")</f>
        <v>?</v>
      </c>
      <c r="Y14" s="1389"/>
      <c r="Z14" s="1389"/>
      <c r="AA14" s="1389"/>
      <c r="AB14" s="792"/>
      <c r="AC14" s="725" t="s">
        <v>766</v>
      </c>
      <c r="AD14" s="792"/>
      <c r="AE14" s="724"/>
      <c r="AF14" s="724"/>
      <c r="AG14" s="724"/>
      <c r="AH14" s="724"/>
      <c r="AI14" s="1389" t="str">
        <f ca="1">IF(AND(test="O.K.",test_1="O.K."),IF(Osobne_udaje!C22&gt;0,UPPER(Osobne_udaje!C22),""),"?")</f>
        <v>?</v>
      </c>
      <c r="AJ14" s="1389"/>
      <c r="AK14" s="1389"/>
      <c r="AL14" s="1389"/>
      <c r="AM14" s="1389"/>
      <c r="AN14" s="1390"/>
      <c r="AO14" s="724" t="s">
        <v>42</v>
      </c>
      <c r="AP14" s="724"/>
      <c r="AQ14" s="724"/>
      <c r="AR14" s="724"/>
      <c r="AS14" s="724"/>
      <c r="AT14" s="1389" t="str">
        <f ca="1">IF(AND(test="O.K.",test_1="O.K."),IF(Osobne_udaje!C13&gt;0,CONCATENATE(Osobne_udaje!C13," / ",Osobne_udaje!D13),""),"?")</f>
        <v>?</v>
      </c>
      <c r="AU14" s="1389"/>
      <c r="AV14" s="1389"/>
      <c r="AW14" s="1389"/>
      <c r="AX14" s="1389"/>
      <c r="AY14" s="1389"/>
      <c r="AZ14" s="1389"/>
      <c r="BA14" s="1389"/>
      <c r="BB14" s="1389"/>
      <c r="BC14" s="1389"/>
      <c r="BD14" s="1389"/>
      <c r="BE14" s="726"/>
    </row>
    <row r="15" spans="2:57" ht="24.9" customHeight="1" thickBot="1">
      <c r="B15" s="730"/>
      <c r="C15" s="731" t="s">
        <v>900</v>
      </c>
      <c r="D15" s="731"/>
      <c r="E15" s="731"/>
      <c r="F15" s="1036" t="str">
        <f>IF(avizo&lt;&gt;"elektronické avízo","1)","")</f>
        <v/>
      </c>
      <c r="G15" s="1396" t="str">
        <f ca="1">IF(AND(test="O.K.",test_1="O.K."),IF(Osobne_udaje!C20&gt;0,Osobne_udaje!C20,""),"?")</f>
        <v>?</v>
      </c>
      <c r="H15" s="1396"/>
      <c r="I15" s="1396"/>
      <c r="J15" s="1396"/>
      <c r="K15" s="1396"/>
      <c r="L15" s="1396"/>
      <c r="M15" s="1396"/>
      <c r="N15" s="1396"/>
      <c r="O15" s="1396"/>
      <c r="P15" s="1396"/>
      <c r="Q15" s="1396"/>
      <c r="R15" s="1396"/>
      <c r="S15" s="1396"/>
      <c r="T15" s="1396"/>
      <c r="U15" s="1396"/>
      <c r="V15" s="1396"/>
      <c r="W15" s="1396"/>
      <c r="X15" s="1396"/>
      <c r="Y15" s="1396"/>
      <c r="Z15" s="1396"/>
      <c r="AA15" s="1396"/>
      <c r="AB15" s="1396"/>
      <c r="AC15" s="732" t="s">
        <v>899</v>
      </c>
      <c r="AD15" s="731"/>
      <c r="AE15" s="731"/>
      <c r="AF15" s="731"/>
      <c r="AG15" s="731"/>
      <c r="AH15" s="731"/>
      <c r="AI15" s="731"/>
      <c r="AJ15" s="731"/>
      <c r="AK15" s="731"/>
      <c r="AL15" s="731"/>
      <c r="AM15" s="1396" t="str">
        <f ca="1">IF(AND(test="O.K.",test_1="O.K."),IF(AND(Osobne_udaje!C24&gt;0,Osobne_udaje!D24&gt;0),CONCATENATE(Osobne_udaje!C24," / ",Osobne_udaje!D24),""),"?")</f>
        <v>?</v>
      </c>
      <c r="AN15" s="1396"/>
      <c r="AO15" s="1396"/>
      <c r="AP15" s="1396"/>
      <c r="AQ15" s="1396"/>
      <c r="AR15" s="1396"/>
      <c r="AS15" s="1396"/>
      <c r="AT15" s="1396"/>
      <c r="AU15" s="1396"/>
      <c r="AV15" s="1396"/>
      <c r="AW15" s="1396"/>
      <c r="AX15" s="1396"/>
      <c r="AY15" s="1396"/>
      <c r="AZ15" s="1396"/>
      <c r="BA15" s="1396"/>
      <c r="BB15" s="1396"/>
      <c r="BC15" s="1396"/>
      <c r="BD15" s="1396"/>
      <c r="BE15" s="733"/>
    </row>
    <row r="16" spans="2:57" ht="18" customHeight="1" thickBot="1">
      <c r="B16" s="734"/>
      <c r="C16" s="735" t="s">
        <v>725</v>
      </c>
      <c r="D16" s="736"/>
      <c r="E16" s="736"/>
      <c r="F16" s="736"/>
      <c r="G16" s="736"/>
      <c r="H16" s="736"/>
      <c r="I16" s="736"/>
      <c r="J16" s="736"/>
      <c r="K16" s="736"/>
      <c r="L16" s="736"/>
      <c r="M16" s="736"/>
      <c r="N16" s="736"/>
      <c r="O16" s="736"/>
      <c r="P16" s="736"/>
      <c r="Q16" s="736"/>
      <c r="R16" s="736"/>
      <c r="S16" s="736"/>
      <c r="T16" s="736"/>
      <c r="U16" s="736"/>
      <c r="V16" s="736"/>
      <c r="W16" s="736"/>
      <c r="X16" s="736"/>
      <c r="Y16" s="736"/>
      <c r="Z16" s="736"/>
      <c r="AA16" s="736"/>
      <c r="AB16" s="736"/>
      <c r="AC16" s="736"/>
      <c r="AD16" s="736"/>
      <c r="AE16" s="736"/>
      <c r="AF16" s="736"/>
      <c r="AG16" s="736"/>
      <c r="AH16" s="736"/>
      <c r="AI16" s="736"/>
      <c r="AJ16" s="736"/>
      <c r="AK16" s="736"/>
      <c r="AL16" s="736"/>
      <c r="AM16" s="736"/>
      <c r="AN16" s="736"/>
      <c r="AO16" s="736"/>
      <c r="AP16" s="736"/>
      <c r="AQ16" s="736"/>
      <c r="AR16" s="736"/>
      <c r="AS16" s="736"/>
      <c r="AT16" s="736"/>
      <c r="AU16" s="736"/>
      <c r="AV16" s="736"/>
      <c r="AW16" s="736"/>
      <c r="AX16" s="736"/>
      <c r="AY16" s="736"/>
      <c r="AZ16" s="736"/>
      <c r="BA16" s="736"/>
      <c r="BB16" s="736"/>
      <c r="BC16" s="736"/>
      <c r="BD16" s="736"/>
      <c r="BE16" s="703"/>
    </row>
    <row r="17" spans="2:57" ht="14.1" customHeight="1" thickBot="1">
      <c r="B17" s="737"/>
      <c r="C17" s="738" t="s">
        <v>48</v>
      </c>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c r="AS17" s="739"/>
      <c r="AT17" s="739"/>
      <c r="AU17" s="739"/>
      <c r="AV17" s="739"/>
      <c r="AW17" s="739"/>
      <c r="AX17" s="739"/>
      <c r="AY17" s="739"/>
      <c r="AZ17" s="739"/>
      <c r="BA17" s="739"/>
      <c r="BB17" s="739"/>
      <c r="BC17" s="739"/>
      <c r="BD17" s="739"/>
      <c r="BE17" s="711"/>
    </row>
    <row r="18" spans="2:57" ht="24.9" customHeight="1">
      <c r="B18" s="740"/>
      <c r="C18" s="741" t="s">
        <v>40</v>
      </c>
      <c r="D18" s="741"/>
      <c r="E18" s="741"/>
      <c r="F18" s="741"/>
      <c r="G18" s="741"/>
      <c r="H18" s="1394" t="str">
        <f ca="1">IF(AND(test="O.K.",test_1="O.K.",$Z$9="X"),"",IF(AND(test="O.K.",test_1="O.K.",$AD$9="X"),UPPER(Osobne_udaje!C28),"???"))</f>
        <v>???</v>
      </c>
      <c r="I18" s="1394"/>
      <c r="J18" s="1394"/>
      <c r="K18" s="1394"/>
      <c r="L18" s="1394"/>
      <c r="M18" s="1394"/>
      <c r="N18" s="1394"/>
      <c r="O18" s="1394"/>
      <c r="P18" s="1394"/>
      <c r="Q18" s="1394"/>
      <c r="R18" s="1394"/>
      <c r="S18" s="1394"/>
      <c r="T18" s="1394"/>
      <c r="U18" s="1394"/>
      <c r="V18" s="1395"/>
      <c r="W18" s="741" t="s">
        <v>41</v>
      </c>
      <c r="X18" s="741"/>
      <c r="Y18" s="741"/>
      <c r="Z18" s="1394" t="str">
        <f ca="1">IF(AND(test="O.K.",test_1="O.K.",$Z$9="X"),"",IF(AND(test="O.K.",test_1="O.K.",$AD$9="X"),UPPER(Osobne_udaje!C29),"???"))</f>
        <v>???</v>
      </c>
      <c r="AA18" s="1394"/>
      <c r="AB18" s="1394"/>
      <c r="AC18" s="1394"/>
      <c r="AD18" s="1394"/>
      <c r="AE18" s="1394"/>
      <c r="AF18" s="1394"/>
      <c r="AG18" s="1394"/>
      <c r="AH18" s="1394"/>
      <c r="AI18" s="1394"/>
      <c r="AJ18" s="1395"/>
      <c r="AK18" s="741" t="s">
        <v>761</v>
      </c>
      <c r="AL18" s="741"/>
      <c r="AM18" s="741"/>
      <c r="AN18" s="1394" t="str">
        <f ca="1">IF(AND(test="O.K.",test_1="O.K.",$Z$9="X"),"",IF(AND(test="O.K.",test_1="O.K.",$AD$9="X"),UPPER(Osobne_udaje!C30),"???"))</f>
        <v>???</v>
      </c>
      <c r="AO18" s="1394"/>
      <c r="AP18" s="1394"/>
      <c r="AQ18" s="1394"/>
      <c r="AR18" s="1395"/>
      <c r="AS18" s="721" t="s">
        <v>762</v>
      </c>
      <c r="AT18" s="741"/>
      <c r="AU18" s="741"/>
      <c r="AV18" s="741"/>
      <c r="AW18" s="1394" t="str">
        <f ca="1">IF(AND(test="O.K.",test_1="O.K.",$Z$9="X"),"",IF(AND(test="O.K.",test_1="O.K.",$AD$9="X"),UPPER(Osobne_udaje!C40),"???"))</f>
        <v>???</v>
      </c>
      <c r="AX18" s="1394"/>
      <c r="AY18" s="1394"/>
      <c r="AZ18" s="1394"/>
      <c r="BA18" s="1394"/>
      <c r="BB18" s="1394"/>
      <c r="BC18" s="1394"/>
      <c r="BD18" s="1394"/>
      <c r="BE18" s="793"/>
    </row>
    <row r="19" spans="2:57" ht="24.9" customHeight="1">
      <c r="B19" s="727"/>
      <c r="C19" s="724" t="s">
        <v>43</v>
      </c>
      <c r="D19" s="724"/>
      <c r="E19" s="724"/>
      <c r="F19" s="724"/>
      <c r="G19" s="724"/>
      <c r="H19" s="724"/>
      <c r="I19" s="724"/>
      <c r="J19" s="724"/>
      <c r="K19" s="724"/>
      <c r="L19" s="724"/>
      <c r="M19" s="724"/>
      <c r="N19" s="1389" t="str">
        <f ca="1">IF(AND(test="O.K.",test_1="O.K.",$Z$9="X"),"",IF(AND(test="O.K.",test_1="O.K.",$AD$9="X"),UPPER(Osobne_udaje!C33),"???"))</f>
        <v>???</v>
      </c>
      <c r="O19" s="1389"/>
      <c r="P19" s="1389"/>
      <c r="Q19" s="1389"/>
      <c r="R19" s="1389"/>
      <c r="S19" s="1389"/>
      <c r="T19" s="1389"/>
      <c r="U19" s="1389"/>
      <c r="V19" s="1389"/>
      <c r="W19" s="1389"/>
      <c r="X19" s="1389"/>
      <c r="Y19" s="1389"/>
      <c r="Z19" s="1389"/>
      <c r="AA19" s="1389"/>
      <c r="AB19" s="1389"/>
      <c r="AC19" s="1389"/>
      <c r="AD19" s="1390"/>
      <c r="AE19" s="725" t="s">
        <v>44</v>
      </c>
      <c r="AF19" s="724"/>
      <c r="AG19" s="724"/>
      <c r="AH19" s="1389" t="str">
        <f ca="1">IF(AND(test="O.K.",test_1="O.K.",$Z$9="X"),"",IF(AND(test="O.K.",test_1="O.K.",$AD$9="X"),UPPER(Osobne_udaje!C34),"???"))</f>
        <v>???</v>
      </c>
      <c r="AI19" s="1389"/>
      <c r="AJ19" s="1389"/>
      <c r="AK19" s="1389"/>
      <c r="AL19" s="1389"/>
      <c r="AM19" s="1389"/>
      <c r="AN19" s="1389"/>
      <c r="AO19" s="1389"/>
      <c r="AP19" s="1389"/>
      <c r="AQ19" s="1389"/>
      <c r="AR19" s="1389"/>
      <c r="AS19" s="1389"/>
      <c r="AT19" s="1389"/>
      <c r="AU19" s="1390"/>
      <c r="AV19" s="725" t="s">
        <v>45</v>
      </c>
      <c r="AW19" s="724"/>
      <c r="AX19" s="1389" t="str">
        <f ca="1">IF(AND(test="O.K.",test_1="O.K.",$Z$9="X"),"",IF(AND(test="O.K.",test_1="O.K.",$AD$9="X"),UPPER(Osobne_udaje!C35),"???"))</f>
        <v>???</v>
      </c>
      <c r="AY19" s="1389"/>
      <c r="AZ19" s="1389"/>
      <c r="BA19" s="1389"/>
      <c r="BB19" s="1389"/>
      <c r="BC19" s="1389"/>
      <c r="BD19" s="1389"/>
      <c r="BE19" s="708"/>
    </row>
    <row r="20" spans="2:57" ht="24.9" customHeight="1">
      <c r="B20" s="727"/>
      <c r="C20" s="724" t="s">
        <v>765</v>
      </c>
      <c r="D20" s="724"/>
      <c r="E20" s="724"/>
      <c r="F20" s="724"/>
      <c r="G20" s="1389" t="str">
        <f ca="1">IF(AND(test="O.K.",test_1="O.K.",$Z$9="X"),"",IF(AND(test="O.K.",test_1="O.K.",$AD$9="X"),UPPER(Osobne_udaje!C36),"???"))</f>
        <v>???</v>
      </c>
      <c r="H20" s="1389"/>
      <c r="I20" s="1389"/>
      <c r="J20" s="1389"/>
      <c r="K20" s="1389"/>
      <c r="L20" s="1389"/>
      <c r="M20" s="1389"/>
      <c r="N20" s="1389"/>
      <c r="O20" s="1389"/>
      <c r="P20" s="1390"/>
      <c r="Q20" s="725" t="s">
        <v>696</v>
      </c>
      <c r="R20" s="724"/>
      <c r="S20" s="724"/>
      <c r="T20" s="724"/>
      <c r="U20" s="724"/>
      <c r="V20" s="724"/>
      <c r="W20" s="724"/>
      <c r="X20" s="1389" t="str">
        <f ca="1">IF(AND(test="O.K.",test_1="O.K.",$Z$9="X"),"",IF(AND(test="O.K.",test_1="O.K.",$AD$9="X"),UPPER(Osobne_udaje!C38),"???"))</f>
        <v>???</v>
      </c>
      <c r="Y20" s="1389"/>
      <c r="Z20" s="1389"/>
      <c r="AA20" s="1389"/>
      <c r="AB20" s="1390"/>
      <c r="AC20" s="725" t="s">
        <v>768</v>
      </c>
      <c r="AD20" s="724"/>
      <c r="AE20" s="724"/>
      <c r="AF20" s="724"/>
      <c r="AG20" s="724"/>
      <c r="AH20" s="724"/>
      <c r="AI20" s="1389" t="str">
        <f ca="1">IF(AND(test="O.K.",test_1="O.K.",$Z$9="X"),"",IF(AND(test="O.K.",test_1="O.K.",$AD$9="X"),UPPER(Osobne_udaje!C39),"???"))</f>
        <v>???</v>
      </c>
      <c r="AJ20" s="1389"/>
      <c r="AK20" s="1389"/>
      <c r="AL20" s="1389"/>
      <c r="AM20" s="1389"/>
      <c r="AN20" s="1390"/>
      <c r="AO20" s="725" t="s">
        <v>42</v>
      </c>
      <c r="AP20" s="724"/>
      <c r="AQ20" s="724"/>
      <c r="AR20" s="724"/>
      <c r="AS20" s="724"/>
      <c r="AT20" s="1389" t="str">
        <f ca="1">IF(AND(test="O.K.",test_1="O.K.",$Z$9="X"),"",IF(AND(test="O.K.",test_1="O.K.",$AD$9="X"),CONCATENATE(Osobne_udaje!C31," / ",Osobne_udaje!D31),"???"))</f>
        <v>???</v>
      </c>
      <c r="AU20" s="1389"/>
      <c r="AV20" s="1389"/>
      <c r="AW20" s="1389"/>
      <c r="AX20" s="1389"/>
      <c r="AY20" s="1389"/>
      <c r="AZ20" s="1389"/>
      <c r="BA20" s="1389"/>
      <c r="BB20" s="1389"/>
      <c r="BC20" s="1389"/>
      <c r="BD20" s="1389"/>
      <c r="BE20" s="708"/>
    </row>
    <row r="21" spans="2:57" ht="21" customHeight="1" thickBot="1">
      <c r="B21" s="743"/>
      <c r="C21" s="744" t="s">
        <v>767</v>
      </c>
      <c r="D21" s="745"/>
      <c r="E21" s="745"/>
      <c r="F21" s="745"/>
      <c r="G21" s="1396" t="str">
        <f ca="1">IF(AND(test="O.K.",test_1="O.K.",$Z$9="X"),"",IF(AND(test="O.K.",test_1="O.K.",$AD$9="X"),IF(Osobne_udaje!C37="","",Osobne_udaje!C37),"???"))</f>
        <v>???</v>
      </c>
      <c r="H21" s="1396"/>
      <c r="I21" s="1396"/>
      <c r="J21" s="1396"/>
      <c r="K21" s="1396"/>
      <c r="L21" s="1396"/>
      <c r="M21" s="1396"/>
      <c r="N21" s="1396"/>
      <c r="O21" s="1396"/>
      <c r="P21" s="1396"/>
      <c r="Q21" s="1396"/>
      <c r="R21" s="1396"/>
      <c r="S21" s="1396"/>
      <c r="T21" s="1396"/>
      <c r="U21" s="1396"/>
      <c r="V21" s="1396"/>
      <c r="W21" s="1396"/>
      <c r="X21" s="1396"/>
      <c r="Y21" s="1396"/>
      <c r="Z21" s="1396"/>
      <c r="AA21" s="1396"/>
      <c r="AB21" s="1396"/>
      <c r="AC21" s="1396"/>
      <c r="AD21" s="1396"/>
      <c r="AE21" s="1396"/>
      <c r="AF21" s="1396"/>
      <c r="AG21" s="1396"/>
      <c r="AH21" s="1396"/>
      <c r="AI21" s="745"/>
      <c r="AJ21" s="745"/>
      <c r="AK21" s="745"/>
      <c r="AL21" s="745"/>
      <c r="AM21" s="745"/>
      <c r="AN21" s="745"/>
      <c r="AO21" s="745"/>
      <c r="AP21" s="745"/>
      <c r="AQ21" s="745"/>
      <c r="AR21" s="745"/>
      <c r="AS21" s="745"/>
      <c r="AT21" s="745"/>
      <c r="AU21" s="745"/>
      <c r="AV21" s="745"/>
      <c r="AW21" s="745"/>
      <c r="AX21" s="745"/>
      <c r="AY21" s="745"/>
      <c r="AZ21" s="745"/>
      <c r="BA21" s="745"/>
      <c r="BB21" s="745"/>
      <c r="BC21" s="745"/>
      <c r="BD21" s="745"/>
      <c r="BE21" s="709"/>
    </row>
    <row r="22" spans="2:57" ht="14.1" customHeight="1" thickBot="1">
      <c r="B22" s="737"/>
      <c r="C22" s="738" t="s">
        <v>49</v>
      </c>
      <c r="D22" s="739"/>
      <c r="E22" s="739"/>
      <c r="F22" s="739"/>
      <c r="G22" s="739"/>
      <c r="H22" s="739"/>
      <c r="I22" s="739"/>
      <c r="J22" s="739"/>
      <c r="K22" s="739"/>
      <c r="L22" s="739"/>
      <c r="M22" s="739"/>
      <c r="N22" s="739"/>
      <c r="O22" s="739"/>
      <c r="P22" s="739"/>
      <c r="Q22" s="739"/>
      <c r="R22" s="739"/>
      <c r="S22" s="739"/>
      <c r="T22" s="739"/>
      <c r="U22" s="739"/>
      <c r="V22" s="739"/>
      <c r="W22" s="739"/>
      <c r="X22" s="739"/>
      <c r="Y22" s="739"/>
      <c r="Z22" s="739"/>
      <c r="AA22" s="739"/>
      <c r="AB22" s="739"/>
      <c r="AC22" s="739"/>
      <c r="AD22" s="739"/>
      <c r="AE22" s="739"/>
      <c r="AF22" s="739"/>
      <c r="AG22" s="739"/>
      <c r="AH22" s="739"/>
      <c r="AI22" s="739"/>
      <c r="AJ22" s="739"/>
      <c r="AK22" s="739"/>
      <c r="AL22" s="739"/>
      <c r="AM22" s="739"/>
      <c r="AN22" s="739"/>
      <c r="AO22" s="739"/>
      <c r="AP22" s="739"/>
      <c r="AQ22" s="739"/>
      <c r="AR22" s="739"/>
      <c r="AS22" s="739"/>
      <c r="AT22" s="739"/>
      <c r="AU22" s="739"/>
      <c r="AV22" s="739"/>
      <c r="AW22" s="739"/>
      <c r="AX22" s="739"/>
      <c r="AY22" s="739"/>
      <c r="AZ22" s="739"/>
      <c r="BA22" s="739"/>
      <c r="BB22" s="739"/>
      <c r="BC22" s="739"/>
      <c r="BD22" s="739"/>
      <c r="BE22" s="711"/>
    </row>
    <row r="23" spans="2:57" ht="15.6" customHeight="1">
      <c r="B23" s="746"/>
      <c r="C23" s="747" t="s">
        <v>50</v>
      </c>
      <c r="D23" s="747"/>
      <c r="E23" s="748"/>
      <c r="F23" s="747" t="s">
        <v>769</v>
      </c>
      <c r="G23" s="747"/>
      <c r="H23" s="747"/>
      <c r="I23" s="747"/>
      <c r="J23" s="747"/>
      <c r="K23" s="747"/>
      <c r="L23" s="747"/>
      <c r="M23" s="747"/>
      <c r="N23" s="747"/>
      <c r="O23" s="747"/>
      <c r="P23" s="747"/>
      <c r="Q23" s="747"/>
      <c r="R23" s="747"/>
      <c r="S23" s="747"/>
      <c r="T23" s="747"/>
      <c r="U23" s="747"/>
      <c r="V23" s="747"/>
      <c r="W23" s="749" t="s">
        <v>42</v>
      </c>
      <c r="X23" s="747"/>
      <c r="Y23" s="747"/>
      <c r="Z23" s="747"/>
      <c r="AA23" s="747"/>
      <c r="AB23" s="747"/>
      <c r="AC23" s="747"/>
      <c r="AD23" s="749" t="s">
        <v>696</v>
      </c>
      <c r="AE23" s="747"/>
      <c r="AF23" s="750"/>
      <c r="AG23" s="747"/>
      <c r="AH23" s="747"/>
      <c r="AI23" s="747"/>
      <c r="AJ23" s="747"/>
      <c r="AK23" s="747"/>
      <c r="AL23" s="749" t="s">
        <v>51</v>
      </c>
      <c r="AM23" s="747"/>
      <c r="AN23" s="750"/>
      <c r="AO23" s="747"/>
      <c r="AP23" s="747"/>
      <c r="AQ23" s="747"/>
      <c r="AR23" s="747"/>
      <c r="AS23" s="747"/>
      <c r="AT23" s="747"/>
      <c r="AU23" s="747"/>
      <c r="AV23" s="747"/>
      <c r="AW23" s="747"/>
      <c r="AX23" s="747"/>
      <c r="AY23" s="747"/>
      <c r="AZ23" s="747"/>
      <c r="BA23" s="747"/>
      <c r="BB23" s="747"/>
      <c r="BC23" s="747"/>
      <c r="BD23" s="747"/>
      <c r="BE23" s="703"/>
    </row>
    <row r="24" spans="2:57" ht="15.6" customHeight="1">
      <c r="B24" s="751"/>
      <c r="C24" s="752" t="s">
        <v>52</v>
      </c>
      <c r="D24" s="753"/>
      <c r="E24" s="754"/>
      <c r="F24" s="1387" t="str">
        <f ca="1">IF(AND(test="O.K.",test_1="O.K."),IF(pocetdeti&gt;=1,UPPER(Osobne_udaje!B61),""),"???")</f>
        <v>???</v>
      </c>
      <c r="G24" s="1388"/>
      <c r="H24" s="1388"/>
      <c r="I24" s="1388"/>
      <c r="J24" s="1388"/>
      <c r="K24" s="1388"/>
      <c r="L24" s="1388"/>
      <c r="M24" s="1388"/>
      <c r="N24" s="1388"/>
      <c r="O24" s="1388"/>
      <c r="P24" s="1388"/>
      <c r="Q24" s="1388"/>
      <c r="R24" s="1388"/>
      <c r="S24" s="1388"/>
      <c r="T24" s="1388"/>
      <c r="U24" s="1388"/>
      <c r="V24" s="1388"/>
      <c r="W24" s="1385" t="str">
        <f ca="1">IF(AND(test="O.K.",test_1="O.K."),IF(pocetdeti&gt;=1,CONCATENATE(Osobne_udaje!C61," / ",Osobne_udaje!D61),""),"???")</f>
        <v>???</v>
      </c>
      <c r="X24" s="1386"/>
      <c r="Y24" s="1386"/>
      <c r="Z24" s="1386"/>
      <c r="AA24" s="1386"/>
      <c r="AB24" s="1386"/>
      <c r="AC24" s="1386"/>
      <c r="AD24" s="1391" t="str">
        <f ca="1">IF(AND(test="O.K.",test_1="O.K."),IF(pocetdeti&gt;=1,UPPER(Osobne_udaje!F61),""),"???")</f>
        <v>???</v>
      </c>
      <c r="AE24" s="1392"/>
      <c r="AF24" s="1392"/>
      <c r="AG24" s="1392"/>
      <c r="AH24" s="1392"/>
      <c r="AI24" s="1392"/>
      <c r="AJ24" s="1392"/>
      <c r="AK24" s="1393"/>
      <c r="AL24" s="1387" t="str">
        <f ca="1">IF(AND(test="O.K.",test_1="O.K."),IF(pocetdeti&gt;=1,UPPER(Osobne_udaje!E61),""),"???")</f>
        <v>???</v>
      </c>
      <c r="AM24" s="1388"/>
      <c r="AN24" s="1388"/>
      <c r="AO24" s="1388"/>
      <c r="AP24" s="1388"/>
      <c r="AQ24" s="1388"/>
      <c r="AR24" s="1388"/>
      <c r="AS24" s="1388"/>
      <c r="AT24" s="1388"/>
      <c r="AU24" s="1388"/>
      <c r="AV24" s="1388"/>
      <c r="AW24" s="1388"/>
      <c r="AX24" s="1388"/>
      <c r="AY24" s="1388"/>
      <c r="AZ24" s="1388"/>
      <c r="BA24" s="1388"/>
      <c r="BB24" s="1388"/>
      <c r="BC24" s="1388"/>
      <c r="BD24" s="1388"/>
      <c r="BE24" s="708"/>
    </row>
    <row r="25" spans="2:57" ht="15.6" customHeight="1">
      <c r="B25" s="727"/>
      <c r="C25" s="755" t="s">
        <v>53</v>
      </c>
      <c r="D25" s="728"/>
      <c r="E25" s="756"/>
      <c r="F25" s="1387" t="str">
        <f ca="1">IF(AND(test="O.K.",test_1="O.K."),IF(pocetdeti&gt;=2,UPPER(Osobne_udaje!B62),""),"???")</f>
        <v>???</v>
      </c>
      <c r="G25" s="1388"/>
      <c r="H25" s="1388"/>
      <c r="I25" s="1388"/>
      <c r="J25" s="1388"/>
      <c r="K25" s="1388"/>
      <c r="L25" s="1388"/>
      <c r="M25" s="1388"/>
      <c r="N25" s="1388"/>
      <c r="O25" s="1388"/>
      <c r="P25" s="1388"/>
      <c r="Q25" s="1388"/>
      <c r="R25" s="1388"/>
      <c r="S25" s="1388"/>
      <c r="T25" s="1388"/>
      <c r="U25" s="1388"/>
      <c r="V25" s="1388"/>
      <c r="W25" s="1385" t="str">
        <f ca="1">IF(AND(test="O.K.",test_1="O.K."),IF(pocetdeti&gt;=2,CONCATENATE(Osobne_udaje!C62," / ",Osobne_udaje!D62),""),"???")</f>
        <v>???</v>
      </c>
      <c r="X25" s="1386"/>
      <c r="Y25" s="1386"/>
      <c r="Z25" s="1386"/>
      <c r="AA25" s="1386"/>
      <c r="AB25" s="1386"/>
      <c r="AC25" s="1386"/>
      <c r="AD25" s="1391" t="str">
        <f ca="1">IF(AND(test="O.K.",test_1="O.K."),IF(pocetdeti&gt;=2,UPPER(Osobne_udaje!F62),""),"???")</f>
        <v>???</v>
      </c>
      <c r="AE25" s="1392"/>
      <c r="AF25" s="1392"/>
      <c r="AG25" s="1392"/>
      <c r="AH25" s="1392"/>
      <c r="AI25" s="1392"/>
      <c r="AJ25" s="1392"/>
      <c r="AK25" s="1393"/>
      <c r="AL25" s="1387" t="str">
        <f ca="1">IF(AND(test="O.K.",test_1="O.K."),IF(pocetdeti&gt;=2,UPPER(Osobne_udaje!E62),""),"???")</f>
        <v>???</v>
      </c>
      <c r="AM25" s="1388"/>
      <c r="AN25" s="1388"/>
      <c r="AO25" s="1388"/>
      <c r="AP25" s="1388"/>
      <c r="AQ25" s="1388"/>
      <c r="AR25" s="1388"/>
      <c r="AS25" s="1388"/>
      <c r="AT25" s="1388"/>
      <c r="AU25" s="1388"/>
      <c r="AV25" s="1388"/>
      <c r="AW25" s="1388"/>
      <c r="AX25" s="1388"/>
      <c r="AY25" s="1388"/>
      <c r="AZ25" s="1388"/>
      <c r="BA25" s="1388"/>
      <c r="BB25" s="1388"/>
      <c r="BC25" s="1388"/>
      <c r="BD25" s="1388"/>
      <c r="BE25" s="708"/>
    </row>
    <row r="26" spans="2:57" ht="15.6" customHeight="1">
      <c r="B26" s="751"/>
      <c r="C26" s="752" t="s">
        <v>54</v>
      </c>
      <c r="D26" s="753"/>
      <c r="E26" s="754"/>
      <c r="F26" s="1387" t="str">
        <f ca="1">IF(AND(test="O.K.",test_1="O.K."),IF(pocetdeti=3,UPPER(Osobne_udaje!B63),""),"???")</f>
        <v>???</v>
      </c>
      <c r="G26" s="1388"/>
      <c r="H26" s="1388"/>
      <c r="I26" s="1388"/>
      <c r="J26" s="1388"/>
      <c r="K26" s="1388"/>
      <c r="L26" s="1388"/>
      <c r="M26" s="1388"/>
      <c r="N26" s="1388"/>
      <c r="O26" s="1388"/>
      <c r="P26" s="1388"/>
      <c r="Q26" s="1388"/>
      <c r="R26" s="1388"/>
      <c r="S26" s="1388"/>
      <c r="T26" s="1388"/>
      <c r="U26" s="1388"/>
      <c r="V26" s="1388"/>
      <c r="W26" s="1385" t="str">
        <f ca="1">IF(AND(test="O.K.",test_1="O.K."),IF(pocetdeti=3,CONCATENATE(Osobne_udaje!C63," / ",Osobne_udaje!D63),""),"???")</f>
        <v>???</v>
      </c>
      <c r="X26" s="1386"/>
      <c r="Y26" s="1386"/>
      <c r="Z26" s="1386"/>
      <c r="AA26" s="1386"/>
      <c r="AB26" s="1386"/>
      <c r="AC26" s="1386"/>
      <c r="AD26" s="1391" t="str">
        <f ca="1">IF(AND(test="O.K.",test_1="O.K."),IF(pocetdeti=3,UPPER(Osobne_udaje!F63),""),"???")</f>
        <v>???</v>
      </c>
      <c r="AE26" s="1392"/>
      <c r="AF26" s="1392"/>
      <c r="AG26" s="1392"/>
      <c r="AH26" s="1392"/>
      <c r="AI26" s="1392"/>
      <c r="AJ26" s="1392"/>
      <c r="AK26" s="1393"/>
      <c r="AL26" s="1387" t="str">
        <f ca="1">IF(AND(test="O.K.",test_1="O.K."),IF(pocetdeti=3,UPPER(Osobne_udaje!E63),""),"???")</f>
        <v>???</v>
      </c>
      <c r="AM26" s="1388"/>
      <c r="AN26" s="1388"/>
      <c r="AO26" s="1388"/>
      <c r="AP26" s="1388"/>
      <c r="AQ26" s="1388"/>
      <c r="AR26" s="1388"/>
      <c r="AS26" s="1388"/>
      <c r="AT26" s="1388"/>
      <c r="AU26" s="1388"/>
      <c r="AV26" s="1388"/>
      <c r="AW26" s="1388"/>
      <c r="AX26" s="1388"/>
      <c r="AY26" s="1388"/>
      <c r="AZ26" s="1388"/>
      <c r="BA26" s="1388"/>
      <c r="BB26" s="1388"/>
      <c r="BC26" s="1388"/>
      <c r="BD26" s="1388"/>
      <c r="BE26" s="708"/>
    </row>
    <row r="27" spans="2:57" ht="13.5" customHeight="1" thickBot="1">
      <c r="B27" s="757"/>
      <c r="C27" s="758"/>
      <c r="D27" s="758"/>
      <c r="E27" s="758"/>
      <c r="F27" s="758"/>
      <c r="G27" s="758"/>
      <c r="H27" s="758"/>
      <c r="I27" s="758"/>
      <c r="J27" s="758"/>
      <c r="K27" s="758"/>
      <c r="L27" s="758"/>
      <c r="M27" s="758"/>
      <c r="N27" s="758"/>
      <c r="O27" s="758"/>
      <c r="P27" s="758"/>
      <c r="Q27" s="758"/>
      <c r="R27" s="758"/>
      <c r="S27" s="758"/>
      <c r="T27" s="758"/>
      <c r="U27" s="758"/>
      <c r="V27" s="758"/>
      <c r="W27" s="758"/>
      <c r="X27" s="758"/>
      <c r="Y27" s="758"/>
      <c r="Z27" s="758"/>
      <c r="AA27" s="758"/>
      <c r="AB27" s="758"/>
      <c r="AC27" s="758"/>
      <c r="AD27" s="758"/>
      <c r="AE27" s="758"/>
      <c r="AF27" s="758"/>
      <c r="AG27" s="758"/>
      <c r="AH27" s="758"/>
      <c r="AI27" s="758"/>
      <c r="AJ27" s="758"/>
      <c r="AK27" s="758"/>
      <c r="AL27" s="758"/>
      <c r="AM27" s="758"/>
      <c r="AN27" s="758"/>
      <c r="AO27" s="758"/>
      <c r="AP27" s="758"/>
      <c r="AQ27" s="758"/>
      <c r="AR27" s="758"/>
      <c r="AS27" s="758"/>
      <c r="AT27" s="758"/>
      <c r="AU27" s="758"/>
      <c r="AV27" s="758"/>
      <c r="AW27" s="758"/>
      <c r="AX27" s="758"/>
      <c r="AY27" s="758"/>
      <c r="AZ27" s="758"/>
      <c r="BA27" s="758"/>
      <c r="BB27" s="758"/>
      <c r="BC27" s="759" t="s">
        <v>726</v>
      </c>
      <c r="BD27" s="758"/>
      <c r="BE27" s="709"/>
    </row>
    <row r="28" spans="2:57" ht="14.1" customHeight="1" thickBot="1">
      <c r="B28" s="760"/>
      <c r="C28" s="738" t="s">
        <v>55</v>
      </c>
      <c r="D28" s="738"/>
      <c r="E28" s="738"/>
      <c r="F28" s="738"/>
      <c r="G28" s="738"/>
      <c r="H28" s="738"/>
      <c r="I28" s="738"/>
      <c r="J28" s="738"/>
      <c r="K28" s="738"/>
      <c r="L28" s="738"/>
      <c r="M28" s="738"/>
      <c r="N28" s="738"/>
      <c r="O28" s="738"/>
      <c r="P28" s="738"/>
      <c r="Q28" s="738"/>
      <c r="R28" s="738"/>
      <c r="S28" s="738"/>
      <c r="T28" s="738"/>
      <c r="U28" s="738"/>
      <c r="V28" s="738"/>
      <c r="W28" s="738"/>
      <c r="X28" s="738"/>
      <c r="Y28" s="738"/>
      <c r="Z28" s="738"/>
      <c r="AA28" s="738"/>
      <c r="AB28" s="738"/>
      <c r="AC28" s="738"/>
      <c r="AD28" s="738"/>
      <c r="AE28" s="738"/>
      <c r="AF28" s="738"/>
      <c r="AG28" s="738"/>
      <c r="AH28" s="738"/>
      <c r="AI28" s="738"/>
      <c r="AJ28" s="738"/>
      <c r="AK28" s="738"/>
      <c r="AL28" s="738"/>
      <c r="AM28" s="738"/>
      <c r="AN28" s="738"/>
      <c r="AO28" s="738"/>
      <c r="AP28" s="738"/>
      <c r="AQ28" s="738"/>
      <c r="AR28" s="738"/>
      <c r="AS28" s="738"/>
      <c r="AT28" s="738"/>
      <c r="AU28" s="738"/>
      <c r="AV28" s="738"/>
      <c r="AW28" s="738"/>
      <c r="AX28" s="738"/>
      <c r="AY28" s="738"/>
      <c r="AZ28" s="738"/>
      <c r="BA28" s="738"/>
      <c r="BB28" s="738"/>
      <c r="BC28" s="738"/>
      <c r="BD28" s="738"/>
      <c r="BE28" s="707"/>
    </row>
    <row r="29" spans="2:57" ht="3.6" customHeight="1">
      <c r="B29" s="740"/>
      <c r="C29" s="742"/>
      <c r="D29" s="742"/>
      <c r="E29" s="742"/>
      <c r="F29" s="742"/>
      <c r="G29" s="742"/>
      <c r="H29" s="742"/>
      <c r="I29" s="742"/>
      <c r="J29" s="742"/>
      <c r="K29" s="742"/>
      <c r="L29" s="742"/>
      <c r="M29" s="742"/>
      <c r="N29" s="742"/>
      <c r="O29" s="742"/>
      <c r="P29" s="742"/>
      <c r="Q29" s="742"/>
      <c r="R29" s="742"/>
      <c r="S29" s="742"/>
      <c r="T29" s="742"/>
      <c r="U29" s="742"/>
      <c r="V29" s="742"/>
      <c r="W29" s="742"/>
      <c r="X29" s="742"/>
      <c r="Y29" s="742"/>
      <c r="Z29" s="742"/>
      <c r="AA29" s="742"/>
      <c r="AB29" s="742"/>
      <c r="AC29" s="742"/>
      <c r="AD29" s="742"/>
      <c r="AE29" s="742"/>
      <c r="AF29" s="742"/>
      <c r="AG29" s="742"/>
      <c r="AH29" s="742"/>
      <c r="AI29" s="742"/>
      <c r="AJ29" s="742"/>
      <c r="AK29" s="742"/>
      <c r="AL29" s="742"/>
      <c r="AM29" s="742"/>
      <c r="AN29" s="742"/>
      <c r="AO29" s="742"/>
      <c r="AP29" s="742"/>
      <c r="AQ29" s="742"/>
      <c r="AR29" s="742"/>
      <c r="AS29" s="742"/>
      <c r="AT29" s="742"/>
      <c r="AU29" s="742"/>
      <c r="AV29" s="742"/>
      <c r="AW29" s="742"/>
      <c r="AX29" s="742"/>
      <c r="AY29" s="742"/>
      <c r="AZ29" s="742"/>
      <c r="BA29" s="742"/>
      <c r="BB29" s="742"/>
      <c r="BC29" s="742"/>
      <c r="BD29" s="753"/>
      <c r="BE29" s="702"/>
    </row>
    <row r="30" spans="2:57" ht="13.5" customHeight="1">
      <c r="B30" s="761"/>
      <c r="C30" s="762"/>
      <c r="D30" s="763"/>
      <c r="E30" s="763"/>
      <c r="F30" s="762"/>
      <c r="G30" s="762"/>
      <c r="H30" s="762"/>
      <c r="I30" s="762"/>
      <c r="J30" s="753"/>
      <c r="K30" s="753"/>
      <c r="L30" s="799" t="s">
        <v>770</v>
      </c>
      <c r="M30" s="1400" t="str">
        <f ca="1">IF(AND(test="O.K.",test_1="O.K."),DAY(RCD),"?")</f>
        <v>?</v>
      </c>
      <c r="N30" s="1401"/>
      <c r="O30" s="1400" t="str">
        <f ca="1">IF(AND(test="O.K.",test_1="O.K."),MONTH(RCD),"?")</f>
        <v>?</v>
      </c>
      <c r="P30" s="1401"/>
      <c r="Q30" s="1400" t="str">
        <f ca="1">IF(AND(test="O.K.",test_1="O.K."),YEAR(RCD),"?")</f>
        <v>?</v>
      </c>
      <c r="R30" s="1404"/>
      <c r="S30" s="1404"/>
      <c r="T30" s="1401"/>
      <c r="U30" s="762"/>
      <c r="V30" s="762"/>
      <c r="W30" s="762"/>
      <c r="X30" s="762"/>
      <c r="Y30" s="762"/>
      <c r="Z30" s="762"/>
      <c r="AA30" s="762"/>
      <c r="AB30" s="762"/>
      <c r="AC30" s="762"/>
      <c r="AD30" s="764" t="s">
        <v>727</v>
      </c>
      <c r="AE30" s="1400" t="str">
        <f ca="1">IF(AND(test="O.K.",test_1="O.K."),IF(AND(M30=1,O30=1),AX30-Q30+1,AX30-Q30),"?")</f>
        <v>?</v>
      </c>
      <c r="AF30" s="1401"/>
      <c r="AG30" s="762" t="s">
        <v>728</v>
      </c>
      <c r="AH30" s="762"/>
      <c r="AI30" s="762"/>
      <c r="AJ30" s="762"/>
      <c r="AK30" s="762"/>
      <c r="AL30" s="762"/>
      <c r="AM30" s="762"/>
      <c r="AN30" s="762"/>
      <c r="AO30" s="762"/>
      <c r="AP30" s="762"/>
      <c r="AQ30" s="762"/>
      <c r="AR30" s="762"/>
      <c r="AS30" s="764" t="s">
        <v>729</v>
      </c>
      <c r="AT30" s="1400" t="str">
        <f ca="1">IF(AND(test="O.K.",test_1="O.K."),DAY(Poistné!C7),"?")</f>
        <v>?</v>
      </c>
      <c r="AU30" s="1401"/>
      <c r="AV30" s="1400" t="str">
        <f ca="1">IF(AND(test="O.K.",test_1="O.K."),MONTH(Poistné!C7),"?")</f>
        <v>?</v>
      </c>
      <c r="AW30" s="1401"/>
      <c r="AX30" s="1400" t="str">
        <f ca="1">IF(AND(test="O.K.",test_1="O.K."),YEAR(Poistné!C7),"?")</f>
        <v>?</v>
      </c>
      <c r="AY30" s="1404"/>
      <c r="AZ30" s="1404"/>
      <c r="BA30" s="1401"/>
      <c r="BB30" s="762"/>
      <c r="BC30" s="762"/>
      <c r="BD30" s="762"/>
      <c r="BE30" s="703"/>
    </row>
    <row r="31" spans="2:57" ht="3.6" customHeight="1">
      <c r="B31" s="765"/>
      <c r="C31" s="766"/>
      <c r="D31" s="766"/>
      <c r="E31" s="766"/>
      <c r="F31" s="766"/>
      <c r="G31" s="766"/>
      <c r="H31" s="766"/>
      <c r="I31" s="766"/>
      <c r="J31" s="766"/>
      <c r="K31" s="766"/>
      <c r="L31" s="766"/>
      <c r="M31" s="766"/>
      <c r="N31" s="766"/>
      <c r="O31" s="766"/>
      <c r="P31" s="766"/>
      <c r="Q31" s="766"/>
      <c r="R31" s="766"/>
      <c r="S31" s="766"/>
      <c r="T31" s="766"/>
      <c r="U31" s="766"/>
      <c r="V31" s="766"/>
      <c r="W31" s="766"/>
      <c r="X31" s="766"/>
      <c r="Y31" s="766"/>
      <c r="Z31" s="766"/>
      <c r="AA31" s="766"/>
      <c r="AB31" s="766"/>
      <c r="AC31" s="766"/>
      <c r="AD31" s="766"/>
      <c r="AE31" s="766"/>
      <c r="AF31" s="766"/>
      <c r="AG31" s="766"/>
      <c r="AH31" s="766"/>
      <c r="AI31" s="766"/>
      <c r="AJ31" s="766"/>
      <c r="AK31" s="766"/>
      <c r="AL31" s="766"/>
      <c r="AM31" s="766"/>
      <c r="AN31" s="766"/>
      <c r="AO31" s="766"/>
      <c r="AP31" s="766"/>
      <c r="AQ31" s="766"/>
      <c r="AR31" s="766"/>
      <c r="AS31" s="766"/>
      <c r="AT31" s="766"/>
      <c r="AU31" s="766"/>
      <c r="AV31" s="766"/>
      <c r="AW31" s="766"/>
      <c r="AX31" s="766"/>
      <c r="AY31" s="766"/>
      <c r="AZ31" s="766"/>
      <c r="BA31" s="766"/>
      <c r="BB31" s="766"/>
      <c r="BC31" s="766"/>
      <c r="BD31" s="766"/>
      <c r="BE31" s="703"/>
    </row>
    <row r="32" spans="2:57" ht="12" customHeight="1">
      <c r="B32" s="800" t="s">
        <v>57</v>
      </c>
      <c r="C32" s="762"/>
      <c r="D32" s="762"/>
      <c r="E32" s="762"/>
      <c r="F32" s="762"/>
      <c r="G32" s="762"/>
      <c r="H32" s="762"/>
      <c r="I32" s="762"/>
      <c r="J32" s="762"/>
      <c r="K32" s="762"/>
      <c r="L32" s="762"/>
      <c r="M32" s="762"/>
      <c r="N32" s="762"/>
      <c r="O32" s="762"/>
      <c r="P32" s="762"/>
      <c r="Q32" s="762"/>
      <c r="R32" s="762"/>
      <c r="S32" s="762"/>
      <c r="T32" s="762"/>
      <c r="U32" s="762"/>
      <c r="V32" s="762"/>
      <c r="W32" s="762"/>
      <c r="X32" s="762"/>
      <c r="Y32" s="762"/>
      <c r="Z32" s="762"/>
      <c r="AA32" s="762"/>
      <c r="AB32" s="762"/>
      <c r="AC32" s="762"/>
      <c r="AD32" s="802"/>
      <c r="AE32" s="803"/>
      <c r="AF32" s="778" t="s">
        <v>58</v>
      </c>
      <c r="AG32" s="762"/>
      <c r="AH32" s="762"/>
      <c r="AI32" s="762"/>
      <c r="AJ32" s="762"/>
      <c r="AK32" s="762"/>
      <c r="AL32" s="762"/>
      <c r="AM32" s="762"/>
      <c r="AN32" s="762"/>
      <c r="AO32" s="762"/>
      <c r="AP32" s="762"/>
      <c r="AQ32" s="762"/>
      <c r="AR32" s="762"/>
      <c r="AS32" s="762"/>
      <c r="AT32" s="762"/>
      <c r="AU32" s="762"/>
      <c r="AV32" s="762"/>
      <c r="AW32" s="762"/>
      <c r="AX32" s="762"/>
      <c r="AY32" s="762"/>
      <c r="AZ32" s="762"/>
      <c r="BA32" s="762"/>
      <c r="BB32" s="762"/>
      <c r="BC32" s="762"/>
      <c r="BD32" s="762"/>
      <c r="BE32" s="798"/>
    </row>
    <row r="33" spans="2:62" ht="13.5" customHeight="1">
      <c r="B33" s="767"/>
      <c r="C33" s="1402" t="str">
        <f ca="1">IF(AND(test="O.K.",test_1="O.K."),IF(Osobne_udaje!C44&gt;0,Osobne_udaje!C44,""),"?")</f>
        <v>?</v>
      </c>
      <c r="D33" s="1402"/>
      <c r="E33" s="1402"/>
      <c r="F33" s="1402"/>
      <c r="G33" s="1402"/>
      <c r="H33" s="1402"/>
      <c r="I33" s="1402"/>
      <c r="J33" s="1402"/>
      <c r="K33" s="1402"/>
      <c r="L33" s="1402"/>
      <c r="M33" s="1402"/>
      <c r="N33" s="1402"/>
      <c r="O33" s="1402"/>
      <c r="P33" s="1402"/>
      <c r="Q33" s="1402"/>
      <c r="R33" s="1402"/>
      <c r="S33" s="1402"/>
      <c r="T33" s="1402"/>
      <c r="U33" s="1402"/>
      <c r="V33" s="1402"/>
      <c r="W33" s="1402"/>
      <c r="X33" s="1402"/>
      <c r="Y33" s="1402"/>
      <c r="Z33" s="1402"/>
      <c r="AA33" s="1402"/>
      <c r="AB33" s="1402"/>
      <c r="AC33" s="1402"/>
      <c r="AD33" s="1402"/>
      <c r="AE33" s="804"/>
      <c r="AF33" s="762"/>
      <c r="AG33" s="1402" t="str">
        <f ca="1">IF(AND(test="O.K.",test_1="O.K."),IF(Osobne_udaje!C47&gt;0,Osobne_udaje!C47,""),"?")</f>
        <v>?</v>
      </c>
      <c r="AH33" s="1402"/>
      <c r="AI33" s="1402"/>
      <c r="AJ33" s="1402"/>
      <c r="AK33" s="1402"/>
      <c r="AL33" s="1402"/>
      <c r="AM33" s="1402"/>
      <c r="AN33" s="1402"/>
      <c r="AO33" s="1402"/>
      <c r="AP33" s="1402"/>
      <c r="AQ33" s="1402"/>
      <c r="AR33" s="1402"/>
      <c r="AS33" s="1402"/>
      <c r="AT33" s="1402"/>
      <c r="AU33" s="1402"/>
      <c r="AV33" s="1402"/>
      <c r="AW33" s="1402"/>
      <c r="AX33" s="1402"/>
      <c r="AY33" s="1402"/>
      <c r="AZ33" s="1402"/>
      <c r="BA33" s="1402"/>
      <c r="BB33" s="1402"/>
      <c r="BC33" s="1402"/>
      <c r="BD33" s="762"/>
      <c r="BE33" s="703"/>
    </row>
    <row r="34" spans="2:62" ht="13.5" customHeight="1">
      <c r="B34" s="800" t="s">
        <v>59</v>
      </c>
      <c r="C34" s="768"/>
      <c r="D34" s="778"/>
      <c r="E34" s="778"/>
      <c r="F34" s="778"/>
      <c r="G34" s="778"/>
      <c r="H34" s="778"/>
      <c r="I34" s="1403" t="str">
        <f ca="1">IF(AND(test="O.K.",test_1="O.K."),IF(Osobne_udaje!C45&gt;0,Osobne_udaje!C45,""),"?")</f>
        <v>?</v>
      </c>
      <c r="J34" s="1403"/>
      <c r="K34" s="1403"/>
      <c r="L34" s="1403"/>
      <c r="M34" s="1403"/>
      <c r="N34" s="1403"/>
      <c r="O34" s="1403"/>
      <c r="P34" s="1403"/>
      <c r="Q34" s="1403"/>
      <c r="R34" s="1403"/>
      <c r="S34" s="1403"/>
      <c r="T34" s="1403"/>
      <c r="U34" s="1403"/>
      <c r="V34" s="1403"/>
      <c r="W34" s="1403"/>
      <c r="X34" s="1403"/>
      <c r="Y34" s="1403"/>
      <c r="Z34" s="1403"/>
      <c r="AA34" s="684"/>
      <c r="AB34" s="796" t="s">
        <v>85</v>
      </c>
      <c r="AC34" s="1400" t="str">
        <f ca="1">IF(AND(test="O.K.",test_1="O.K."),IF(Osobne_udaje!C46&gt;0,Osobne_udaje!C46,""),"?")</f>
        <v>?</v>
      </c>
      <c r="AD34" s="1401"/>
      <c r="AE34" s="801"/>
      <c r="AF34" s="778" t="str">
        <f ca="1">IF(AND(test="O.K.",test_1="O.K."),IF(PZ_1!AG33="žiadna","","vykonávaná"),"?")</f>
        <v>?</v>
      </c>
      <c r="AG34" s="778"/>
      <c r="AH34" s="778"/>
      <c r="AI34" s="778"/>
      <c r="AJ34" s="778"/>
      <c r="AK34" s="1413" t="str">
        <f ca="1">IF(AND(test="O.K.",test_1="O.K."),IF(Osobne_udaje!C48&gt;0,Osobne_udaje!C48,""),"?")</f>
        <v>?</v>
      </c>
      <c r="AL34" s="1413"/>
      <c r="AM34" s="1413"/>
      <c r="AN34" s="1413"/>
      <c r="AO34" s="1413"/>
      <c r="AP34" s="1413"/>
      <c r="AQ34" s="1413"/>
      <c r="AR34" s="1413"/>
      <c r="AS34" s="1413"/>
      <c r="AT34" s="1413"/>
      <c r="AU34" s="1413"/>
      <c r="AV34" s="1413"/>
      <c r="AW34" s="1413"/>
      <c r="AX34" s="1413"/>
      <c r="AY34" s="1413"/>
      <c r="AZ34" s="778"/>
      <c r="BA34" s="796" t="s">
        <v>85</v>
      </c>
      <c r="BB34" s="1400" t="str">
        <f ca="1">IF(AND(test="O.K.",test_1="O.K."),IF(Osobne_udaje!C49&gt;0,Osobne_udaje!C49,""),"?")</f>
        <v>?</v>
      </c>
      <c r="BC34" s="1401"/>
      <c r="BD34" s="778"/>
      <c r="BE34" s="703"/>
    </row>
    <row r="35" spans="2:62" ht="3.6" customHeight="1" thickBot="1">
      <c r="B35" s="769"/>
      <c r="C35" s="770"/>
      <c r="D35" s="770"/>
      <c r="E35" s="770"/>
      <c r="F35" s="770"/>
      <c r="G35" s="770"/>
      <c r="H35" s="770"/>
      <c r="I35" s="770"/>
      <c r="J35" s="770"/>
      <c r="K35" s="770"/>
      <c r="L35" s="770"/>
      <c r="M35" s="770"/>
      <c r="N35" s="770"/>
      <c r="O35" s="770"/>
      <c r="P35" s="770"/>
      <c r="Q35" s="770"/>
      <c r="R35" s="770"/>
      <c r="S35" s="770"/>
      <c r="T35" s="770"/>
      <c r="U35" s="770"/>
      <c r="V35" s="770"/>
      <c r="W35" s="770"/>
      <c r="X35" s="770"/>
      <c r="Y35" s="770"/>
      <c r="Z35" s="770"/>
      <c r="AA35" s="770"/>
      <c r="AB35" s="770"/>
      <c r="AC35" s="771"/>
      <c r="AD35" s="770"/>
      <c r="AE35" s="772"/>
      <c r="AF35" s="770"/>
      <c r="AG35" s="770"/>
      <c r="AH35" s="770"/>
      <c r="AI35" s="770"/>
      <c r="AJ35" s="770"/>
      <c r="AK35" s="770"/>
      <c r="AL35" s="770"/>
      <c r="AM35" s="770"/>
      <c r="AN35" s="770"/>
      <c r="AO35" s="770"/>
      <c r="AP35" s="770"/>
      <c r="AQ35" s="770"/>
      <c r="AR35" s="770"/>
      <c r="AS35" s="770"/>
      <c r="AT35" s="770"/>
      <c r="AU35" s="770"/>
      <c r="AV35" s="770"/>
      <c r="AW35" s="770"/>
      <c r="AX35" s="770"/>
      <c r="AY35" s="770"/>
      <c r="AZ35" s="770"/>
      <c r="BA35" s="770"/>
      <c r="BB35" s="770"/>
      <c r="BC35" s="771"/>
      <c r="BD35" s="770"/>
      <c r="BE35" s="704"/>
    </row>
    <row r="36" spans="2:62" ht="17.100000000000001" customHeight="1" thickBot="1">
      <c r="B36" s="734"/>
      <c r="C36" s="736"/>
      <c r="D36" s="736"/>
      <c r="E36" s="736"/>
      <c r="F36" s="736"/>
      <c r="G36" s="736"/>
      <c r="H36" s="736"/>
      <c r="I36" s="736"/>
      <c r="J36" s="736"/>
      <c r="K36" s="736"/>
      <c r="L36" s="736"/>
      <c r="M36" s="736"/>
      <c r="N36" s="736"/>
      <c r="O36" s="736"/>
      <c r="P36" s="736"/>
      <c r="Q36" s="736"/>
      <c r="R36" s="736"/>
      <c r="S36" s="736"/>
      <c r="T36" s="736"/>
      <c r="U36" s="736"/>
      <c r="V36" s="736"/>
      <c r="W36" s="736"/>
      <c r="X36" s="736"/>
      <c r="Y36" s="736"/>
      <c r="Z36" s="736"/>
      <c r="AA36" s="736"/>
      <c r="AB36" s="736"/>
      <c r="AC36" s="736"/>
      <c r="AD36" s="736"/>
      <c r="AE36" s="736"/>
      <c r="AF36" s="736"/>
      <c r="AG36" s="736"/>
      <c r="AH36" s="736"/>
      <c r="AI36" s="736"/>
      <c r="AJ36" s="736"/>
      <c r="AK36" s="736"/>
      <c r="AL36" s="736"/>
      <c r="AM36" s="736"/>
      <c r="AN36" s="736"/>
      <c r="AO36" s="736"/>
      <c r="AP36" s="736"/>
      <c r="AQ36" s="736"/>
      <c r="AR36" s="736"/>
      <c r="AS36" s="736"/>
      <c r="AT36" s="736"/>
      <c r="AU36" s="736"/>
      <c r="AV36" s="736"/>
      <c r="AW36" s="736"/>
      <c r="AX36" s="736"/>
      <c r="AY36" s="736"/>
      <c r="AZ36" s="736"/>
      <c r="BA36" s="736"/>
      <c r="BB36" s="736"/>
      <c r="BC36" s="1012" t="s">
        <v>894</v>
      </c>
      <c r="BD36" s="736"/>
      <c r="BE36" s="710"/>
    </row>
    <row r="37" spans="2:62" ht="14.1" customHeight="1" thickBot="1">
      <c r="B37" s="737"/>
      <c r="C37" s="738" t="s">
        <v>730</v>
      </c>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39"/>
      <c r="AL37" s="739"/>
      <c r="AM37" s="739"/>
      <c r="AN37" s="739"/>
      <c r="AO37" s="739"/>
      <c r="AP37" s="739"/>
      <c r="AQ37" s="739"/>
      <c r="AR37" s="739"/>
      <c r="AS37" s="739"/>
      <c r="AT37" s="739"/>
      <c r="AU37" s="739"/>
      <c r="AV37" s="739"/>
      <c r="AW37" s="739"/>
      <c r="AX37" s="739"/>
      <c r="AY37" s="739"/>
      <c r="AZ37" s="739"/>
      <c r="BA37" s="739"/>
      <c r="BB37" s="739"/>
      <c r="BC37" s="739"/>
      <c r="BD37" s="739"/>
      <c r="BE37" s="711"/>
    </row>
    <row r="38" spans="2:62" ht="3" customHeight="1">
      <c r="B38" s="740"/>
      <c r="C38" s="742"/>
      <c r="D38" s="742"/>
      <c r="E38" s="742"/>
      <c r="F38" s="742"/>
      <c r="G38" s="742"/>
      <c r="H38" s="742"/>
      <c r="I38" s="742"/>
      <c r="J38" s="742"/>
      <c r="K38" s="742"/>
      <c r="L38" s="742"/>
      <c r="M38" s="742"/>
      <c r="N38" s="742"/>
      <c r="O38" s="742"/>
      <c r="P38" s="742"/>
      <c r="Q38" s="742"/>
      <c r="R38" s="742"/>
      <c r="S38" s="742"/>
      <c r="T38" s="742"/>
      <c r="U38" s="742"/>
      <c r="V38" s="742"/>
      <c r="W38" s="742"/>
      <c r="X38" s="742"/>
      <c r="Y38" s="742"/>
      <c r="Z38" s="742"/>
      <c r="AA38" s="742"/>
      <c r="AB38" s="742"/>
      <c r="AC38" s="742"/>
      <c r="AD38" s="742"/>
      <c r="AE38" s="742"/>
      <c r="AF38" s="742"/>
      <c r="AG38" s="742"/>
      <c r="AH38" s="742"/>
      <c r="AI38" s="742"/>
      <c r="AJ38" s="742"/>
      <c r="AK38" s="742"/>
      <c r="AL38" s="742"/>
      <c r="AM38" s="742"/>
      <c r="AN38" s="742"/>
      <c r="AO38" s="742"/>
      <c r="AP38" s="742"/>
      <c r="AQ38" s="742"/>
      <c r="AR38" s="742"/>
      <c r="AS38" s="742"/>
      <c r="AT38" s="742"/>
      <c r="AU38" s="742"/>
      <c r="AV38" s="742"/>
      <c r="AW38" s="742"/>
      <c r="AX38" s="742"/>
      <c r="AY38" s="742"/>
      <c r="AZ38" s="742"/>
      <c r="BA38" s="742"/>
      <c r="BB38" s="742"/>
      <c r="BC38" s="742"/>
      <c r="BD38" s="742"/>
      <c r="BE38" s="703"/>
    </row>
    <row r="39" spans="2:62" ht="13.5" customHeight="1">
      <c r="B39" s="773"/>
      <c r="C39" s="774" t="s">
        <v>731</v>
      </c>
      <c r="D39" s="762"/>
      <c r="E39" s="762"/>
      <c r="F39" s="762"/>
      <c r="G39" s="762"/>
      <c r="H39" s="762"/>
      <c r="I39" s="762"/>
      <c r="J39" s="762"/>
      <c r="K39" s="762"/>
      <c r="L39" s="762"/>
      <c r="M39" s="762"/>
      <c r="N39" s="762"/>
      <c r="O39" s="775"/>
      <c r="P39" s="775"/>
      <c r="Q39" s="807" t="str">
        <f ca="1">IF(AND(test="O.K.",test_1="O.K."),IF(t=1,"X",""),"?")</f>
        <v>?</v>
      </c>
      <c r="R39" s="776" t="s">
        <v>732</v>
      </c>
      <c r="S39" s="775"/>
      <c r="T39" s="775"/>
      <c r="U39" s="775"/>
      <c r="V39" s="775"/>
      <c r="W39" s="775"/>
      <c r="X39" s="807" t="str">
        <f ca="1">IF(AND(test="O.K.",test_1="O.K."),IF(t=2,"X",""),"?")</f>
        <v>?</v>
      </c>
      <c r="Y39" s="776" t="s">
        <v>733</v>
      </c>
      <c r="Z39" s="776"/>
      <c r="AA39" s="775"/>
      <c r="AB39" s="775"/>
      <c r="AC39" s="775"/>
      <c r="AD39" s="775"/>
      <c r="AE39" s="807" t="str">
        <f ca="1">IF(AND(test="O.K.",test_1="O.K."),IF(t=4,"X",""),"?")</f>
        <v>?</v>
      </c>
      <c r="AF39" s="776" t="s">
        <v>735</v>
      </c>
      <c r="AG39" s="776"/>
      <c r="AH39" s="776"/>
      <c r="AI39" s="777"/>
      <c r="AJ39" s="775"/>
      <c r="AK39" s="775"/>
      <c r="AL39" s="808" t="str">
        <f ca="1">IF(AND(test="O.K.",test_1="O.K."),IF(t=12,"X",""),"?")</f>
        <v>?</v>
      </c>
      <c r="AM39" s="776" t="s">
        <v>736</v>
      </c>
      <c r="AN39" s="762"/>
      <c r="AO39" s="775"/>
      <c r="AP39" s="776"/>
      <c r="AQ39" s="762"/>
      <c r="AR39" s="762"/>
      <c r="AS39" s="777" t="s">
        <v>734</v>
      </c>
      <c r="AT39" s="684"/>
      <c r="AU39" s="762"/>
      <c r="AV39" s="777"/>
      <c r="AW39" s="762"/>
      <c r="AX39" s="762"/>
      <c r="AY39" s="762"/>
      <c r="AZ39" s="762"/>
      <c r="BA39" s="762"/>
      <c r="BB39" s="762"/>
      <c r="BC39" s="762"/>
      <c r="BD39" s="796"/>
      <c r="BE39" s="703"/>
      <c r="BH39" s="684"/>
      <c r="BI39" s="684"/>
      <c r="BJ39" s="684"/>
    </row>
    <row r="40" spans="2:62" ht="3" customHeight="1">
      <c r="B40" s="773"/>
      <c r="C40" s="775"/>
      <c r="D40" s="775"/>
      <c r="E40" s="775"/>
      <c r="F40" s="775"/>
      <c r="G40" s="775"/>
      <c r="H40" s="775"/>
      <c r="I40" s="775"/>
      <c r="J40" s="775"/>
      <c r="K40" s="775"/>
      <c r="L40" s="775"/>
      <c r="M40" s="775"/>
      <c r="N40" s="775"/>
      <c r="O40" s="775"/>
      <c r="P40" s="775"/>
      <c r="Q40" s="775"/>
      <c r="R40" s="775"/>
      <c r="S40" s="775"/>
      <c r="T40" s="775"/>
      <c r="U40" s="775"/>
      <c r="V40" s="775"/>
      <c r="W40" s="775"/>
      <c r="X40" s="775"/>
      <c r="Y40" s="775"/>
      <c r="Z40" s="775"/>
      <c r="AA40" s="775"/>
      <c r="AB40" s="775"/>
      <c r="AC40" s="775"/>
      <c r="AD40" s="775"/>
      <c r="AE40" s="775"/>
      <c r="AF40" s="775"/>
      <c r="AG40" s="775"/>
      <c r="AH40" s="775"/>
      <c r="AI40" s="775"/>
      <c r="AJ40" s="775"/>
      <c r="AK40" s="775"/>
      <c r="AL40" s="775"/>
      <c r="AM40" s="775"/>
      <c r="AN40" s="775"/>
      <c r="AO40" s="775"/>
      <c r="AP40" s="775"/>
      <c r="AQ40" s="775"/>
      <c r="AR40" s="775"/>
      <c r="AS40" s="684"/>
      <c r="AT40" s="684"/>
      <c r="AU40" s="775"/>
      <c r="AV40" s="775"/>
      <c r="AW40" s="775"/>
      <c r="AX40" s="775"/>
      <c r="AY40" s="775"/>
      <c r="AZ40" s="775"/>
      <c r="BA40" s="775"/>
      <c r="BB40" s="775"/>
      <c r="BC40" s="775"/>
      <c r="BD40" s="775"/>
      <c r="BE40" s="703"/>
      <c r="BH40" s="684"/>
      <c r="BI40" s="684"/>
      <c r="BJ40" s="684"/>
    </row>
    <row r="41" spans="2:62" ht="13.5" customHeight="1">
      <c r="B41" s="773"/>
      <c r="C41" s="774" t="s">
        <v>771</v>
      </c>
      <c r="D41" s="775"/>
      <c r="E41" s="775"/>
      <c r="F41" s="775"/>
      <c r="G41" s="775"/>
      <c r="H41" s="811" t="str">
        <f ca="1">IF(AND(test="O.K.",test_1="O.K."),IF(avizo="poštová poukážka","X",""),"?")</f>
        <v>?</v>
      </c>
      <c r="I41" s="809" t="s">
        <v>772</v>
      </c>
      <c r="J41" s="809"/>
      <c r="K41" s="809"/>
      <c r="L41" s="809"/>
      <c r="M41" s="809"/>
      <c r="N41" s="809"/>
      <c r="O41" s="809"/>
      <c r="P41" s="809"/>
      <c r="Q41" s="812" t="str">
        <f ca="1">IF(AND(test="O.K.",test_1="O.K."),IF(avizo="bez avíza (trvalý príkaz)","X",""),"?")</f>
        <v>?</v>
      </c>
      <c r="R41" s="809" t="s">
        <v>773</v>
      </c>
      <c r="S41" s="809"/>
      <c r="T41" s="809"/>
      <c r="U41" s="809"/>
      <c r="V41" s="809"/>
      <c r="W41" s="809"/>
      <c r="X41" s="809"/>
      <c r="Y41" s="809"/>
      <c r="Z41" s="810"/>
      <c r="AA41" s="809"/>
      <c r="AB41" s="811" t="str">
        <f ca="1">IF(AND(test="O.K.",test_1="O.K."),IF(avizo="elektronické avízo","X",""),"?")</f>
        <v>?</v>
      </c>
      <c r="AC41" s="809" t="s">
        <v>774</v>
      </c>
      <c r="AD41" s="684"/>
      <c r="AE41" s="775"/>
      <c r="AF41" s="775"/>
      <c r="AG41" s="775"/>
      <c r="AH41" s="775"/>
      <c r="AI41" s="777"/>
      <c r="AJ41" s="775"/>
      <c r="AK41" s="775"/>
      <c r="AL41" s="775"/>
      <c r="AM41" s="775"/>
      <c r="AN41" s="1405" t="str">
        <f ca="1">IF(AND(test="O.K.",test_1="O.K."),IF(AB41="X",Osobne_udaje!E53,""),"?")</f>
        <v>?</v>
      </c>
      <c r="AO41" s="1405"/>
      <c r="AP41" s="1405"/>
      <c r="AQ41" s="1405"/>
      <c r="AR41" s="1405"/>
      <c r="AS41" s="1405"/>
      <c r="AT41" s="1405"/>
      <c r="AU41" s="1405"/>
      <c r="AV41" s="1405"/>
      <c r="AW41" s="1405"/>
      <c r="AX41" s="1405"/>
      <c r="AY41" s="1405"/>
      <c r="AZ41" s="1405"/>
      <c r="BA41" s="1405"/>
      <c r="BB41" s="1405"/>
      <c r="BC41" s="1405"/>
      <c r="BD41" s="1405"/>
      <c r="BE41" s="703"/>
      <c r="BH41" s="684"/>
      <c r="BI41" s="684"/>
      <c r="BJ41" s="684"/>
    </row>
    <row r="42" spans="2:62" ht="13.5" customHeight="1" thickBot="1">
      <c r="B42" s="779"/>
      <c r="C42" s="744" t="s">
        <v>628</v>
      </c>
      <c r="D42" s="745"/>
      <c r="E42" s="745"/>
      <c r="F42" s="745"/>
      <c r="G42" s="745"/>
      <c r="H42" s="745"/>
      <c r="I42" s="745"/>
      <c r="J42" s="745"/>
      <c r="K42" s="745"/>
      <c r="L42" s="745"/>
      <c r="M42" s="745"/>
      <c r="N42" s="745"/>
      <c r="O42" s="745"/>
      <c r="P42" s="745"/>
      <c r="Q42" s="745"/>
      <c r="R42" s="745"/>
      <c r="S42" s="745"/>
      <c r="T42" s="745"/>
      <c r="U42" s="745"/>
      <c r="V42" s="745"/>
      <c r="W42" s="745"/>
      <c r="X42" s="745"/>
      <c r="Y42" s="745"/>
      <c r="Z42" s="745"/>
      <c r="AA42" s="745"/>
      <c r="AB42" s="745"/>
      <c r="AC42" s="745"/>
      <c r="AD42" s="745"/>
      <c r="AE42" s="745"/>
      <c r="AF42" s="745"/>
      <c r="AG42" s="745"/>
      <c r="AH42" s="745"/>
      <c r="AI42" s="745"/>
      <c r="AJ42" s="745"/>
      <c r="AK42" s="745"/>
      <c r="AL42" s="745"/>
      <c r="AM42" s="745"/>
      <c r="AN42" s="745"/>
      <c r="AO42" s="745"/>
      <c r="AP42" s="745"/>
      <c r="AQ42" s="745"/>
      <c r="AR42" s="745"/>
      <c r="AS42" s="745"/>
      <c r="AT42" s="745"/>
      <c r="AU42" s="745"/>
      <c r="AV42" s="745"/>
      <c r="AW42" s="745"/>
      <c r="AX42" s="745"/>
      <c r="AY42" s="745"/>
      <c r="AZ42" s="745"/>
      <c r="BA42" s="745"/>
      <c r="BB42" s="745"/>
      <c r="BC42" s="745"/>
      <c r="BD42" s="745"/>
      <c r="BE42" s="703"/>
      <c r="BH42" s="684"/>
      <c r="BI42" s="684"/>
      <c r="BJ42" s="684"/>
    </row>
    <row r="43" spans="2:62" ht="14.1" customHeight="1" thickBot="1">
      <c r="B43" s="737"/>
      <c r="C43" s="738" t="s">
        <v>737</v>
      </c>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739"/>
      <c r="AQ43" s="739"/>
      <c r="AR43" s="739"/>
      <c r="AS43" s="739"/>
      <c r="AT43" s="739"/>
      <c r="AU43" s="739"/>
      <c r="AV43" s="739"/>
      <c r="AW43" s="739"/>
      <c r="AX43" s="739"/>
      <c r="AY43" s="739"/>
      <c r="AZ43" s="739"/>
      <c r="BA43" s="739"/>
      <c r="BB43" s="739"/>
      <c r="BC43" s="739"/>
      <c r="BD43" s="739"/>
      <c r="BE43" s="711"/>
    </row>
    <row r="44" spans="2:62" ht="15" customHeight="1">
      <c r="B44" s="780" t="s">
        <v>738</v>
      </c>
      <c r="C44" s="781"/>
      <c r="D44" s="781"/>
      <c r="E44" s="781"/>
      <c r="F44" s="781"/>
      <c r="G44" s="781"/>
      <c r="H44" s="781"/>
      <c r="I44" s="781"/>
      <c r="J44" s="781"/>
      <c r="K44" s="781"/>
      <c r="L44" s="781"/>
      <c r="M44" s="781"/>
      <c r="N44" s="781"/>
      <c r="O44" s="781"/>
      <c r="P44" s="781"/>
      <c r="Q44" s="781"/>
      <c r="R44" s="781"/>
      <c r="S44" s="781"/>
      <c r="T44" s="781"/>
      <c r="U44" s="781"/>
      <c r="V44" s="781"/>
      <c r="W44" s="781"/>
      <c r="X44" s="781"/>
      <c r="Y44" s="781"/>
      <c r="Z44" s="781"/>
      <c r="AA44" s="781"/>
      <c r="AB44" s="781"/>
      <c r="AC44" s="781"/>
      <c r="AD44" s="781"/>
      <c r="AE44" s="781"/>
      <c r="AF44" s="781"/>
      <c r="AG44" s="781"/>
      <c r="AH44" s="781"/>
      <c r="AI44" s="781"/>
      <c r="AJ44" s="781"/>
      <c r="AK44" s="781"/>
      <c r="AL44" s="781"/>
      <c r="AM44" s="781"/>
      <c r="AN44" s="782" t="s">
        <v>739</v>
      </c>
      <c r="AO44" s="783"/>
      <c r="AP44" s="781"/>
      <c r="AQ44" s="781"/>
      <c r="AR44" s="781"/>
      <c r="AS44" s="781"/>
      <c r="AT44" s="781"/>
      <c r="AU44" s="781"/>
      <c r="AV44" s="781"/>
      <c r="AW44" s="781"/>
      <c r="AX44" s="781"/>
      <c r="AY44" s="781"/>
      <c r="AZ44" s="781"/>
      <c r="BA44" s="781"/>
      <c r="BB44" s="781"/>
      <c r="BC44" s="781"/>
      <c r="BD44" s="797" t="s">
        <v>740</v>
      </c>
      <c r="BE44" s="703"/>
    </row>
    <row r="45" spans="2:62" ht="1.5" customHeight="1">
      <c r="B45" s="773"/>
      <c r="C45" s="775"/>
      <c r="D45" s="775"/>
      <c r="E45" s="775"/>
      <c r="F45" s="775"/>
      <c r="G45" s="775"/>
      <c r="H45" s="775"/>
      <c r="I45" s="775"/>
      <c r="J45" s="775"/>
      <c r="K45" s="775"/>
      <c r="L45" s="775"/>
      <c r="M45" s="775"/>
      <c r="N45" s="775"/>
      <c r="O45" s="775"/>
      <c r="P45" s="775"/>
      <c r="Q45" s="775"/>
      <c r="R45" s="775"/>
      <c r="S45" s="775"/>
      <c r="T45" s="775"/>
      <c r="U45" s="775"/>
      <c r="V45" s="775"/>
      <c r="W45" s="775"/>
      <c r="X45" s="775"/>
      <c r="Y45" s="775"/>
      <c r="Z45" s="775"/>
      <c r="AA45" s="775"/>
      <c r="AB45" s="775"/>
      <c r="AC45" s="775"/>
      <c r="AD45" s="775"/>
      <c r="AE45" s="775"/>
      <c r="AF45" s="775"/>
      <c r="AG45" s="775"/>
      <c r="AH45" s="775"/>
      <c r="AI45" s="775"/>
      <c r="AJ45" s="775"/>
      <c r="AK45" s="775"/>
      <c r="AL45" s="775"/>
      <c r="AM45" s="775"/>
      <c r="AN45" s="775"/>
      <c r="AO45" s="775"/>
      <c r="AP45" s="775"/>
      <c r="AQ45" s="775"/>
      <c r="AR45" s="775"/>
      <c r="AS45" s="775"/>
      <c r="AT45" s="775"/>
      <c r="AU45" s="775"/>
      <c r="AV45" s="775"/>
      <c r="AW45" s="775"/>
      <c r="AX45" s="775"/>
      <c r="AY45" s="775"/>
      <c r="AZ45" s="775"/>
      <c r="BA45" s="775"/>
      <c r="BB45" s="775"/>
      <c r="BC45" s="775"/>
      <c r="BD45" s="775"/>
      <c r="BE45" s="703"/>
    </row>
    <row r="46" spans="2:62" ht="13.5" customHeight="1">
      <c r="B46" s="773"/>
      <c r="C46" s="808" t="str">
        <f>IF(Osobne_udaje!C7="nie(poistené je iba dieťa/deti)","","X")</f>
        <v>X</v>
      </c>
      <c r="D46" s="776" t="s">
        <v>741</v>
      </c>
      <c r="E46" s="775"/>
      <c r="F46" s="775"/>
      <c r="G46" s="775"/>
      <c r="H46" s="775"/>
      <c r="I46" s="775"/>
      <c r="J46" s="775"/>
      <c r="K46" s="775"/>
      <c r="L46" s="775"/>
      <c r="M46" s="775"/>
      <c r="N46" s="775"/>
      <c r="O46" s="775"/>
      <c r="P46" s="775"/>
      <c r="Q46" s="808" t="str">
        <f ca="1">IF(C46&lt;&gt;"",IF(AND(test="O.K.",test_1="O.K."),IF(tnu=0,"","X"),"?"),"")</f>
        <v>?</v>
      </c>
      <c r="R46" s="775" t="s">
        <v>742</v>
      </c>
      <c r="S46" s="775"/>
      <c r="T46" s="775"/>
      <c r="U46" s="775"/>
      <c r="V46" s="775"/>
      <c r="W46" s="775"/>
      <c r="X46" s="775"/>
      <c r="Y46" s="775"/>
      <c r="Z46" s="808" t="str">
        <f ca="1">IF(C46&lt;&gt;"",IF(AND(test="O.K.",test_1="O.K."),IF(_tnu450=0,"","X"),"?"),"")</f>
        <v>?</v>
      </c>
      <c r="AA46" s="775" t="s">
        <v>648</v>
      </c>
      <c r="AB46" s="775"/>
      <c r="AC46" s="775"/>
      <c r="AD46" s="775"/>
      <c r="AE46" s="775"/>
      <c r="AF46" s="775"/>
      <c r="AG46" s="775"/>
      <c r="AH46" s="775"/>
      <c r="AI46" s="775"/>
      <c r="AJ46" s="775"/>
      <c r="AK46" s="775"/>
      <c r="AL46" s="1409" t="str">
        <f ca="1">IF(AND(test="O.K.",test_1="O.K."),IF(tnu&gt;0,tnu,IF(_tnu450&gt;0,_tnu450,"")),"?")</f>
        <v>?</v>
      </c>
      <c r="AM46" s="1410"/>
      <c r="AN46" s="1410"/>
      <c r="AO46" s="1410"/>
      <c r="AP46" s="1410"/>
      <c r="AQ46" s="1411"/>
      <c r="AR46" s="784" t="s">
        <v>80</v>
      </c>
      <c r="AS46" s="763"/>
      <c r="AT46" s="775"/>
      <c r="AU46" s="775"/>
      <c r="AV46" s="1406" t="str">
        <f ca="1">IF(dospely=FALSE,"",IF(AND(test="O.K.",test_1="O.K."),IF(tnu&gt;0,Poistné!D17,IF(_tnu450&gt;0,Poistné!D18,"")),"?"))</f>
        <v>?</v>
      </c>
      <c r="AW46" s="1407"/>
      <c r="AX46" s="1407"/>
      <c r="AY46" s="1407"/>
      <c r="AZ46" s="1407"/>
      <c r="BA46" s="1408"/>
      <c r="BB46" s="763" t="s">
        <v>80</v>
      </c>
      <c r="BC46" s="775"/>
      <c r="BD46" s="775"/>
      <c r="BE46" s="703"/>
    </row>
    <row r="47" spans="2:62" ht="2.25" customHeight="1">
      <c r="B47" s="773"/>
      <c r="C47" s="775"/>
      <c r="D47" s="776"/>
      <c r="E47" s="775"/>
      <c r="F47" s="775"/>
      <c r="G47" s="775"/>
      <c r="H47" s="775"/>
      <c r="I47" s="775"/>
      <c r="J47" s="775"/>
      <c r="K47" s="775"/>
      <c r="L47" s="775"/>
      <c r="M47" s="775"/>
      <c r="N47" s="775"/>
      <c r="O47" s="775"/>
      <c r="P47" s="775"/>
      <c r="Q47" s="775"/>
      <c r="R47" s="775"/>
      <c r="S47" s="775"/>
      <c r="T47" s="775"/>
      <c r="U47" s="775"/>
      <c r="V47" s="775"/>
      <c r="W47" s="775"/>
      <c r="X47" s="775"/>
      <c r="Y47" s="775"/>
      <c r="Z47" s="775"/>
      <c r="AA47" s="775"/>
      <c r="AB47" s="775"/>
      <c r="AC47" s="775"/>
      <c r="AD47" s="775"/>
      <c r="AE47" s="775"/>
      <c r="AF47" s="775"/>
      <c r="AG47" s="775"/>
      <c r="AH47" s="775"/>
      <c r="AI47" s="775"/>
      <c r="AJ47" s="775"/>
      <c r="AK47" s="775"/>
      <c r="AL47" s="775"/>
      <c r="AM47" s="775"/>
      <c r="AN47" s="775"/>
      <c r="AO47" s="775"/>
      <c r="AP47" s="775"/>
      <c r="AQ47" s="775"/>
      <c r="AR47" s="775"/>
      <c r="AS47" s="775"/>
      <c r="AT47" s="775"/>
      <c r="AU47" s="775"/>
      <c r="AV47" s="775"/>
      <c r="AW47" s="775"/>
      <c r="AX47" s="775"/>
      <c r="AY47" s="775"/>
      <c r="AZ47" s="775"/>
      <c r="BA47" s="775"/>
      <c r="BB47" s="775"/>
      <c r="BC47" s="775"/>
      <c r="BD47" s="775"/>
      <c r="BE47" s="703"/>
    </row>
    <row r="48" spans="2:62" ht="13.5" customHeight="1">
      <c r="B48" s="773"/>
      <c r="C48" s="808" t="str">
        <f ca="1">IF(AND(test="O.K.",test_1="O.K."),IF(su&gt;0,"X",""),"?")</f>
        <v>?</v>
      </c>
      <c r="D48" s="776" t="s">
        <v>743</v>
      </c>
      <c r="E48" s="775"/>
      <c r="F48" s="775"/>
      <c r="G48" s="775"/>
      <c r="H48" s="775"/>
      <c r="I48" s="775"/>
      <c r="J48" s="775"/>
      <c r="K48" s="775"/>
      <c r="L48" s="775"/>
      <c r="M48" s="775"/>
      <c r="N48" s="775"/>
      <c r="O48" s="775"/>
      <c r="P48" s="775"/>
      <c r="Q48" s="775"/>
      <c r="R48" s="775"/>
      <c r="S48" s="775"/>
      <c r="T48" s="775"/>
      <c r="U48" s="775"/>
      <c r="V48" s="775"/>
      <c r="W48" s="775"/>
      <c r="X48" s="775"/>
      <c r="Y48" s="775"/>
      <c r="Z48" s="775"/>
      <c r="AA48" s="775"/>
      <c r="AB48" s="775"/>
      <c r="AC48" s="775"/>
      <c r="AD48" s="775"/>
      <c r="AE48" s="775"/>
      <c r="AF48" s="775"/>
      <c r="AG48" s="775"/>
      <c r="AH48" s="775"/>
      <c r="AI48" s="775"/>
      <c r="AJ48" s="775"/>
      <c r="AK48" s="775"/>
      <c r="AL48" s="1409" t="str">
        <f ca="1">IF(AND(test="O.K.",test_1="O.K."),IF(su&gt;0,su,""),"?")</f>
        <v>?</v>
      </c>
      <c r="AM48" s="1410"/>
      <c r="AN48" s="1410"/>
      <c r="AO48" s="1410"/>
      <c r="AP48" s="1410"/>
      <c r="AQ48" s="1411"/>
      <c r="AR48" s="784" t="s">
        <v>80</v>
      </c>
      <c r="AS48" s="763"/>
      <c r="AT48" s="775"/>
      <c r="AU48" s="775"/>
      <c r="AV48" s="1406" t="str">
        <f ca="1">IF(dospely=FALSE,"",IF(AND(test="O.K.",test_1="O.K."),IF(su&gt;0,Poistné!D19,""),"?"))</f>
        <v>?</v>
      </c>
      <c r="AW48" s="1407"/>
      <c r="AX48" s="1407"/>
      <c r="AY48" s="1407"/>
      <c r="AZ48" s="1407"/>
      <c r="BA48" s="1408"/>
      <c r="BB48" s="763" t="s">
        <v>80</v>
      </c>
      <c r="BC48" s="775"/>
      <c r="BD48" s="775"/>
      <c r="BE48" s="703"/>
    </row>
    <row r="49" spans="2:57" ht="2.25" customHeight="1">
      <c r="B49" s="773"/>
      <c r="C49" s="775"/>
      <c r="D49" s="776"/>
      <c r="E49" s="775"/>
      <c r="F49" s="775"/>
      <c r="G49" s="775"/>
      <c r="H49" s="775"/>
      <c r="I49" s="775"/>
      <c r="J49" s="775"/>
      <c r="K49" s="775"/>
      <c r="L49" s="775"/>
      <c r="M49" s="775"/>
      <c r="N49" s="775"/>
      <c r="O49" s="775"/>
      <c r="P49" s="775"/>
      <c r="Q49" s="775"/>
      <c r="R49" s="775"/>
      <c r="S49" s="775"/>
      <c r="T49" s="775"/>
      <c r="U49" s="775"/>
      <c r="V49" s="775"/>
      <c r="W49" s="775"/>
      <c r="X49" s="775"/>
      <c r="Y49" s="775"/>
      <c r="Z49" s="775"/>
      <c r="AA49" s="775"/>
      <c r="AB49" s="775"/>
      <c r="AC49" s="775"/>
      <c r="AD49" s="775"/>
      <c r="AE49" s="775"/>
      <c r="AF49" s="775"/>
      <c r="AG49" s="775"/>
      <c r="AH49" s="775"/>
      <c r="AI49" s="775"/>
      <c r="AJ49" s="775"/>
      <c r="AK49" s="775"/>
      <c r="AL49" s="775"/>
      <c r="AM49" s="775"/>
      <c r="AN49" s="775"/>
      <c r="AO49" s="775"/>
      <c r="AP49" s="775"/>
      <c r="AQ49" s="775"/>
      <c r="AR49" s="775"/>
      <c r="AS49" s="775"/>
      <c r="AT49" s="775"/>
      <c r="AU49" s="775"/>
      <c r="AV49" s="775"/>
      <c r="AW49" s="775"/>
      <c r="AX49" s="775"/>
      <c r="AY49" s="775"/>
      <c r="AZ49" s="775"/>
      <c r="BA49" s="775"/>
      <c r="BB49" s="775"/>
      <c r="BC49" s="775"/>
      <c r="BD49" s="775"/>
      <c r="BE49" s="703"/>
    </row>
    <row r="50" spans="2:57" ht="13.5" customHeight="1">
      <c r="B50" s="773"/>
      <c r="C50" s="808" t="str">
        <f ca="1">IF(AND(test="O.K.",test_1="O.K."),IF(do&gt;0,"X",""),"?")</f>
        <v>?</v>
      </c>
      <c r="D50" s="776" t="s">
        <v>744</v>
      </c>
      <c r="E50" s="775"/>
      <c r="F50" s="775"/>
      <c r="G50" s="775"/>
      <c r="H50" s="775"/>
      <c r="I50" s="775"/>
      <c r="J50" s="775"/>
      <c r="K50" s="775"/>
      <c r="L50" s="775"/>
      <c r="M50" s="775"/>
      <c r="N50" s="775"/>
      <c r="O50" s="775"/>
      <c r="P50" s="775"/>
      <c r="Q50" s="775"/>
      <c r="R50" s="775"/>
      <c r="S50" s="775"/>
      <c r="T50" s="775"/>
      <c r="U50" s="775"/>
      <c r="V50" s="775"/>
      <c r="W50" s="775"/>
      <c r="X50" s="775"/>
      <c r="Y50" s="775"/>
      <c r="Z50" s="775"/>
      <c r="AA50" s="775"/>
      <c r="AB50" s="775"/>
      <c r="AC50" s="775"/>
      <c r="AD50" s="775"/>
      <c r="AE50" s="775"/>
      <c r="AF50" s="775"/>
      <c r="AG50" s="775"/>
      <c r="AH50" s="775"/>
      <c r="AI50" s="775"/>
      <c r="AJ50" s="775"/>
      <c r="AK50" s="775"/>
      <c r="AL50" s="1409" t="str">
        <f ca="1">IF(AND(test="O.K.",test_1="O.K."),IF(do&gt;0,do,""),"?")</f>
        <v>?</v>
      </c>
      <c r="AM50" s="1410"/>
      <c r="AN50" s="1410"/>
      <c r="AO50" s="1410"/>
      <c r="AP50" s="1410"/>
      <c r="AQ50" s="1411"/>
      <c r="AR50" s="784" t="s">
        <v>80</v>
      </c>
      <c r="AS50" s="775"/>
      <c r="AT50" s="775"/>
      <c r="AU50" s="775"/>
      <c r="AV50" s="1406" t="str">
        <f ca="1">IF(dospely=FALSE,"",IF(AND(test="O.K.",test_1="O.K."),IF(do&gt;0,Poistné!D20,""),"?"))</f>
        <v>?</v>
      </c>
      <c r="AW50" s="1407"/>
      <c r="AX50" s="1407"/>
      <c r="AY50" s="1407"/>
      <c r="AZ50" s="1407"/>
      <c r="BA50" s="1408"/>
      <c r="BB50" s="763" t="s">
        <v>80</v>
      </c>
      <c r="BC50" s="785"/>
      <c r="BD50" s="775"/>
      <c r="BE50" s="703"/>
    </row>
    <row r="51" spans="2:57" ht="2.25" customHeight="1">
      <c r="B51" s="773"/>
      <c r="C51" s="775"/>
      <c r="D51" s="776"/>
      <c r="E51" s="775"/>
      <c r="F51" s="775"/>
      <c r="G51" s="775"/>
      <c r="H51" s="775"/>
      <c r="I51" s="775"/>
      <c r="J51" s="775"/>
      <c r="K51" s="775"/>
      <c r="L51" s="775"/>
      <c r="M51" s="775"/>
      <c r="N51" s="775"/>
      <c r="O51" s="775"/>
      <c r="P51" s="775"/>
      <c r="Q51" s="775"/>
      <c r="R51" s="775"/>
      <c r="S51" s="775"/>
      <c r="T51" s="775"/>
      <c r="U51" s="775"/>
      <c r="V51" s="775"/>
      <c r="W51" s="775"/>
      <c r="X51" s="775"/>
      <c r="Y51" s="775"/>
      <c r="Z51" s="775"/>
      <c r="AA51" s="775"/>
      <c r="AB51" s="775"/>
      <c r="AC51" s="775"/>
      <c r="AD51" s="775"/>
      <c r="AE51" s="775"/>
      <c r="AF51" s="775"/>
      <c r="AG51" s="775"/>
      <c r="AH51" s="775"/>
      <c r="AI51" s="775"/>
      <c r="AJ51" s="775"/>
      <c r="AK51" s="775"/>
      <c r="AL51" s="775"/>
      <c r="AM51" s="775"/>
      <c r="AN51" s="775"/>
      <c r="AO51" s="775"/>
      <c r="AP51" s="775"/>
      <c r="AQ51" s="775"/>
      <c r="AR51" s="775"/>
      <c r="AS51" s="775"/>
      <c r="AT51" s="775"/>
      <c r="AU51" s="775"/>
      <c r="AV51" s="775"/>
      <c r="AW51" s="775"/>
      <c r="AX51" s="775"/>
      <c r="AY51" s="775"/>
      <c r="AZ51" s="775"/>
      <c r="BA51" s="775"/>
      <c r="BB51" s="775"/>
      <c r="BC51" s="775"/>
      <c r="BD51" s="775"/>
      <c r="BE51" s="703"/>
    </row>
    <row r="52" spans="2:57" ht="13.5" customHeight="1">
      <c r="B52" s="773"/>
      <c r="C52" s="808" t="str">
        <f ca="1">IF(AND(test="O.K.",test_1="O.K."),IF(cnl&gt;0,"X",""),"?")</f>
        <v>?</v>
      </c>
      <c r="D52" s="776" t="s">
        <v>745</v>
      </c>
      <c r="E52" s="775"/>
      <c r="F52" s="775"/>
      <c r="G52" s="775"/>
      <c r="H52" s="775"/>
      <c r="I52" s="775"/>
      <c r="J52" s="775"/>
      <c r="K52" s="775"/>
      <c r="L52" s="775"/>
      <c r="M52" s="775"/>
      <c r="N52" s="775"/>
      <c r="O52" s="775"/>
      <c r="P52" s="775"/>
      <c r="Q52" s="775"/>
      <c r="R52" s="775"/>
      <c r="S52" s="775"/>
      <c r="T52" s="775"/>
      <c r="U52" s="775"/>
      <c r="V52" s="775"/>
      <c r="W52" s="775"/>
      <c r="X52" s="775"/>
      <c r="Y52" s="775"/>
      <c r="Z52" s="775"/>
      <c r="AA52" s="775"/>
      <c r="AB52" s="775"/>
      <c r="AC52" s="775"/>
      <c r="AD52" s="775"/>
      <c r="AE52" s="775"/>
      <c r="AF52" s="775"/>
      <c r="AG52" s="775"/>
      <c r="AH52" s="775"/>
      <c r="AI52" s="775"/>
      <c r="AJ52" s="775"/>
      <c r="AK52" s="775"/>
      <c r="AL52" s="1409" t="str">
        <f ca="1">IF(AND(test="O.K.",test_1="O.K."),IF(cnl&gt;0,cnl,""),"?")</f>
        <v>?</v>
      </c>
      <c r="AM52" s="1410"/>
      <c r="AN52" s="1410"/>
      <c r="AO52" s="1410"/>
      <c r="AP52" s="1410"/>
      <c r="AQ52" s="1411"/>
      <c r="AR52" s="784" t="s">
        <v>80</v>
      </c>
      <c r="AS52" s="775"/>
      <c r="AT52" s="775"/>
      <c r="AU52" s="775"/>
      <c r="AV52" s="1406" t="str">
        <f ca="1">IF(dospely=FALSE,"",IF(AND(test="O.K.",test_1="O.K."),IF(cnl&gt;0,Poistné!D21,""),"?"))</f>
        <v>?</v>
      </c>
      <c r="AW52" s="1407"/>
      <c r="AX52" s="1407"/>
      <c r="AY52" s="1407"/>
      <c r="AZ52" s="1407"/>
      <c r="BA52" s="1408"/>
      <c r="BB52" s="763" t="s">
        <v>80</v>
      </c>
      <c r="BC52" s="775"/>
      <c r="BD52" s="775"/>
      <c r="BE52" s="703"/>
    </row>
    <row r="53" spans="2:57" ht="3" customHeight="1">
      <c r="B53" s="773"/>
      <c r="C53" s="775"/>
      <c r="D53" s="776"/>
      <c r="E53" s="775"/>
      <c r="F53" s="775"/>
      <c r="G53" s="775"/>
      <c r="H53" s="775"/>
      <c r="I53" s="775"/>
      <c r="J53" s="775"/>
      <c r="K53" s="775"/>
      <c r="L53" s="775"/>
      <c r="M53" s="775"/>
      <c r="N53" s="775"/>
      <c r="O53" s="775"/>
      <c r="P53" s="775"/>
      <c r="Q53" s="775"/>
      <c r="R53" s="775"/>
      <c r="S53" s="775"/>
      <c r="T53" s="775"/>
      <c r="U53" s="775"/>
      <c r="V53" s="775"/>
      <c r="W53" s="775"/>
      <c r="X53" s="775"/>
      <c r="Y53" s="775"/>
      <c r="Z53" s="775"/>
      <c r="AA53" s="775"/>
      <c r="AB53" s="775"/>
      <c r="AC53" s="775"/>
      <c r="AD53" s="775"/>
      <c r="AE53" s="775"/>
      <c r="AF53" s="775"/>
      <c r="AG53" s="775"/>
      <c r="AH53" s="775"/>
      <c r="AI53" s="775"/>
      <c r="AJ53" s="775"/>
      <c r="AK53" s="775"/>
      <c r="AL53" s="775"/>
      <c r="AM53" s="775"/>
      <c r="AN53" s="775"/>
      <c r="AO53" s="775"/>
      <c r="AP53" s="775"/>
      <c r="AQ53" s="775"/>
      <c r="AR53" s="775"/>
      <c r="AS53" s="775"/>
      <c r="AT53" s="775"/>
      <c r="AU53" s="775"/>
      <c r="AV53" s="775"/>
      <c r="AW53" s="775"/>
      <c r="AX53" s="775"/>
      <c r="AY53" s="775"/>
      <c r="AZ53" s="775"/>
      <c r="BA53" s="775"/>
      <c r="BB53" s="775"/>
      <c r="BC53" s="775"/>
      <c r="BD53" s="775"/>
      <c r="BE53" s="703"/>
    </row>
    <row r="54" spans="2:57" ht="13.5" customHeight="1">
      <c r="B54" s="773"/>
      <c r="C54" s="808" t="str">
        <f ca="1">IF(AND(test="O.K.",test_1="O.K."),IF(dn&gt;0,"X",""),"?")</f>
        <v>?</v>
      </c>
      <c r="D54" s="776" t="s">
        <v>746</v>
      </c>
      <c r="E54" s="775"/>
      <c r="F54" s="775"/>
      <c r="G54" s="775"/>
      <c r="H54" s="775"/>
      <c r="I54" s="775"/>
      <c r="J54" s="775"/>
      <c r="K54" s="775"/>
      <c r="L54" s="775"/>
      <c r="M54" s="775"/>
      <c r="N54" s="775"/>
      <c r="O54" s="775"/>
      <c r="P54" s="775"/>
      <c r="Q54" s="775"/>
      <c r="R54" s="775"/>
      <c r="S54" s="775"/>
      <c r="T54" s="775"/>
      <c r="U54" s="775"/>
      <c r="V54" s="775"/>
      <c r="W54" s="775"/>
      <c r="X54" s="775"/>
      <c r="Y54" s="775"/>
      <c r="Z54" s="775"/>
      <c r="AA54" s="775"/>
      <c r="AB54" s="775"/>
      <c r="AC54" s="775"/>
      <c r="AD54" s="775"/>
      <c r="AE54" s="775"/>
      <c r="AF54" s="775"/>
      <c r="AG54" s="775"/>
      <c r="AH54" s="775"/>
      <c r="AI54" s="775"/>
      <c r="AJ54" s="775"/>
      <c r="AK54" s="775"/>
      <c r="AL54" s="1409" t="str">
        <f ca="1">IF(AND(test="O.K.",test_1="O.K."),IF(dn&gt;0,dn,""),"?")</f>
        <v>?</v>
      </c>
      <c r="AM54" s="1410"/>
      <c r="AN54" s="1410"/>
      <c r="AO54" s="1410"/>
      <c r="AP54" s="1410"/>
      <c r="AQ54" s="1411"/>
      <c r="AR54" s="784" t="s">
        <v>80</v>
      </c>
      <c r="AS54" s="775"/>
      <c r="AT54" s="775"/>
      <c r="AU54" s="775"/>
      <c r="AV54" s="1406" t="str">
        <f ca="1">IF(dospely=FALSE,"",IF(AND(test="O.K.",test_1="O.K."),IF(dn&gt;0,Poistné!D22,""),"?"))</f>
        <v>?</v>
      </c>
      <c r="AW54" s="1407"/>
      <c r="AX54" s="1407"/>
      <c r="AY54" s="1407"/>
      <c r="AZ54" s="1407"/>
      <c r="BA54" s="1408"/>
      <c r="BB54" s="763" t="s">
        <v>80</v>
      </c>
      <c r="BC54" s="775"/>
      <c r="BD54" s="775"/>
      <c r="BE54" s="703"/>
    </row>
    <row r="55" spans="2:57" ht="3" customHeight="1">
      <c r="B55" s="773"/>
      <c r="C55" s="775"/>
      <c r="D55" s="776"/>
      <c r="E55" s="775"/>
      <c r="F55" s="775"/>
      <c r="G55" s="775"/>
      <c r="H55" s="775"/>
      <c r="I55" s="775"/>
      <c r="J55" s="775"/>
      <c r="K55" s="775"/>
      <c r="L55" s="775"/>
      <c r="M55" s="775"/>
      <c r="N55" s="775"/>
      <c r="O55" s="775"/>
      <c r="P55" s="775"/>
      <c r="Q55" s="775"/>
      <c r="R55" s="775"/>
      <c r="S55" s="775"/>
      <c r="T55" s="775"/>
      <c r="U55" s="775"/>
      <c r="V55" s="775"/>
      <c r="W55" s="775"/>
      <c r="X55" s="775"/>
      <c r="Y55" s="775"/>
      <c r="Z55" s="775"/>
      <c r="AA55" s="775"/>
      <c r="AB55" s="775"/>
      <c r="AC55" s="775"/>
      <c r="AD55" s="775"/>
      <c r="AE55" s="775"/>
      <c r="AF55" s="775"/>
      <c r="AG55" s="775"/>
      <c r="AH55" s="775"/>
      <c r="AI55" s="775"/>
      <c r="AJ55" s="775"/>
      <c r="AK55" s="775"/>
      <c r="AL55" s="775"/>
      <c r="AM55" s="775"/>
      <c r="AN55" s="775"/>
      <c r="AO55" s="775"/>
      <c r="AP55" s="775"/>
      <c r="AQ55" s="775"/>
      <c r="AR55" s="775"/>
      <c r="AS55" s="775"/>
      <c r="AT55" s="775"/>
      <c r="AU55" s="775"/>
      <c r="AV55" s="775"/>
      <c r="AW55" s="985"/>
      <c r="AX55" s="775"/>
      <c r="AY55" s="775"/>
      <c r="AZ55" s="775"/>
      <c r="BA55" s="775"/>
      <c r="BB55" s="775"/>
      <c r="BC55" s="775"/>
      <c r="BD55" s="775"/>
      <c r="BE55" s="703"/>
    </row>
    <row r="56" spans="2:57" ht="13.5" customHeight="1">
      <c r="B56" s="773"/>
      <c r="C56" s="808" t="str">
        <f ca="1">IF(AND(test="O.K.",test_1="O.K."),IF(mo&gt;0,"X",""),"?")</f>
        <v>?</v>
      </c>
      <c r="D56" s="776" t="s">
        <v>747</v>
      </c>
      <c r="E56" s="775"/>
      <c r="F56" s="775"/>
      <c r="G56" s="775"/>
      <c r="H56" s="775"/>
      <c r="I56" s="775"/>
      <c r="J56" s="775"/>
      <c r="K56" s="775"/>
      <c r="L56" s="775"/>
      <c r="M56" s="775"/>
      <c r="N56" s="775"/>
      <c r="O56" s="775"/>
      <c r="P56" s="775"/>
      <c r="Q56" s="775"/>
      <c r="R56" s="775"/>
      <c r="S56" s="775"/>
      <c r="T56" s="775"/>
      <c r="U56" s="775"/>
      <c r="V56" s="775"/>
      <c r="W56" s="775"/>
      <c r="X56" s="775"/>
      <c r="Y56" s="775"/>
      <c r="Z56" s="775"/>
      <c r="AA56" s="775"/>
      <c r="AB56" s="775"/>
      <c r="AC56" s="775"/>
      <c r="AD56" s="775"/>
      <c r="AE56" s="775"/>
      <c r="AF56" s="775"/>
      <c r="AG56" s="775"/>
      <c r="AH56" s="775"/>
      <c r="AI56" s="775"/>
      <c r="AJ56" s="775"/>
      <c r="AK56" s="775"/>
      <c r="AL56" s="1409" t="str">
        <f ca="1">IF(AND(test="O.K.",test_1="O.K."),IF(mo&gt;0,mo,""),"?")</f>
        <v>?</v>
      </c>
      <c r="AM56" s="1410"/>
      <c r="AN56" s="1410"/>
      <c r="AO56" s="1410"/>
      <c r="AP56" s="1410"/>
      <c r="AQ56" s="1411"/>
      <c r="AR56" s="784" t="s">
        <v>80</v>
      </c>
      <c r="AS56" s="775"/>
      <c r="AT56" s="775"/>
      <c r="AU56" s="775"/>
      <c r="AV56" s="1406" t="str">
        <f ca="1">IF(dospely=FALSE,"",IF(AND(test="O.K.",test_1="O.K."),IF(mo&gt;0,Poistné!D23,""),"?"))</f>
        <v>?</v>
      </c>
      <c r="AW56" s="1407"/>
      <c r="AX56" s="1407"/>
      <c r="AY56" s="1407"/>
      <c r="AZ56" s="1407"/>
      <c r="BA56" s="1408"/>
      <c r="BB56" s="763" t="s">
        <v>80</v>
      </c>
      <c r="BC56" s="775"/>
      <c r="BD56" s="775"/>
      <c r="BE56" s="703"/>
    </row>
    <row r="57" spans="2:57" ht="3" customHeight="1">
      <c r="B57" s="773"/>
      <c r="C57" s="775"/>
      <c r="D57" s="776"/>
      <c r="E57" s="775"/>
      <c r="F57" s="775"/>
      <c r="G57" s="775"/>
      <c r="H57" s="775"/>
      <c r="I57" s="775"/>
      <c r="J57" s="775"/>
      <c r="K57" s="775"/>
      <c r="L57" s="775"/>
      <c r="M57" s="775"/>
      <c r="N57" s="775"/>
      <c r="O57" s="775"/>
      <c r="P57" s="775"/>
      <c r="Q57" s="775"/>
      <c r="R57" s="775"/>
      <c r="S57" s="775"/>
      <c r="T57" s="775"/>
      <c r="U57" s="775"/>
      <c r="V57" s="775"/>
      <c r="W57" s="775"/>
      <c r="X57" s="775"/>
      <c r="Y57" s="775"/>
      <c r="Z57" s="775"/>
      <c r="AA57" s="775"/>
      <c r="AB57" s="775"/>
      <c r="AC57" s="775"/>
      <c r="AD57" s="775"/>
      <c r="AE57" s="775"/>
      <c r="AF57" s="775"/>
      <c r="AG57" s="775"/>
      <c r="AH57" s="775"/>
      <c r="AI57" s="775"/>
      <c r="AJ57" s="775"/>
      <c r="AK57" s="775"/>
      <c r="AL57" s="775"/>
      <c r="AM57" s="775"/>
      <c r="AN57" s="775"/>
      <c r="AO57" s="775"/>
      <c r="AP57" s="775"/>
      <c r="AQ57" s="775"/>
      <c r="AR57" s="775"/>
      <c r="AS57" s="775"/>
      <c r="AT57" s="775"/>
      <c r="AU57" s="775"/>
      <c r="AV57" s="775"/>
      <c r="AW57" s="775"/>
      <c r="AX57" s="775"/>
      <c r="AY57" s="775"/>
      <c r="AZ57" s="775"/>
      <c r="BA57" s="775"/>
      <c r="BB57" s="775"/>
      <c r="BC57" s="775"/>
      <c r="BD57" s="775"/>
      <c r="BE57" s="703"/>
    </row>
    <row r="58" spans="2:57" ht="13.5" customHeight="1">
      <c r="B58" s="773"/>
      <c r="C58" s="808" t="str">
        <f ca="1">IF(AND(test="O.K.",test_1="O.K."),IF(kch&gt;0,"X",""),"?")</f>
        <v>?</v>
      </c>
      <c r="D58" s="776" t="s">
        <v>748</v>
      </c>
      <c r="E58" s="775"/>
      <c r="F58" s="775"/>
      <c r="G58" s="775"/>
      <c r="H58" s="775"/>
      <c r="I58" s="775"/>
      <c r="J58" s="775"/>
      <c r="K58" s="775"/>
      <c r="L58" s="775"/>
      <c r="M58" s="775"/>
      <c r="N58" s="775"/>
      <c r="O58" s="775"/>
      <c r="P58" s="775"/>
      <c r="Q58" s="775"/>
      <c r="R58" s="775"/>
      <c r="S58" s="775"/>
      <c r="T58" s="775"/>
      <c r="U58" s="775"/>
      <c r="V58" s="775"/>
      <c r="W58" s="775"/>
      <c r="X58" s="775"/>
      <c r="Y58" s="775"/>
      <c r="Z58" s="775"/>
      <c r="AA58" s="775"/>
      <c r="AB58" s="775"/>
      <c r="AC58" s="775"/>
      <c r="AD58" s="775"/>
      <c r="AE58" s="775"/>
      <c r="AF58" s="775"/>
      <c r="AG58" s="775"/>
      <c r="AH58" s="775"/>
      <c r="AI58" s="775"/>
      <c r="AJ58" s="775"/>
      <c r="AK58" s="775"/>
      <c r="AL58" s="1409" t="str">
        <f ca="1">IF(AND(test="O.K.",test_1="O.K."),IF(kch&gt;0,kch,""),"?")</f>
        <v>?</v>
      </c>
      <c r="AM58" s="1410"/>
      <c r="AN58" s="1410"/>
      <c r="AO58" s="1410"/>
      <c r="AP58" s="1410"/>
      <c r="AQ58" s="1411"/>
      <c r="AR58" s="784" t="s">
        <v>80</v>
      </c>
      <c r="AS58" s="775"/>
      <c r="AT58" s="775"/>
      <c r="AU58" s="775"/>
      <c r="AV58" s="1406" t="str">
        <f ca="1">IF(dospely=FALSE,"",IF(AND(test="O.K.",test_1="O.K."),IF(kch&gt;0,Poistné!D24,""),"?"))</f>
        <v>?</v>
      </c>
      <c r="AW58" s="1407"/>
      <c r="AX58" s="1407"/>
      <c r="AY58" s="1407"/>
      <c r="AZ58" s="1407"/>
      <c r="BA58" s="1408"/>
      <c r="BB58" s="763" t="s">
        <v>80</v>
      </c>
      <c r="BC58" s="775"/>
      <c r="BD58" s="775"/>
      <c r="BE58" s="703"/>
    </row>
    <row r="59" spans="2:57" ht="3" customHeight="1">
      <c r="B59" s="773"/>
      <c r="C59" s="775"/>
      <c r="D59" s="775"/>
      <c r="E59" s="775"/>
      <c r="F59" s="775"/>
      <c r="G59" s="775"/>
      <c r="H59" s="775"/>
      <c r="I59" s="775"/>
      <c r="J59" s="775"/>
      <c r="K59" s="775"/>
      <c r="L59" s="775"/>
      <c r="M59" s="775"/>
      <c r="N59" s="775"/>
      <c r="O59" s="775"/>
      <c r="P59" s="775"/>
      <c r="Q59" s="775"/>
      <c r="R59" s="775"/>
      <c r="S59" s="775"/>
      <c r="T59" s="775"/>
      <c r="U59" s="775"/>
      <c r="V59" s="775"/>
      <c r="W59" s="775"/>
      <c r="X59" s="775"/>
      <c r="Y59" s="775"/>
      <c r="Z59" s="775"/>
      <c r="AA59" s="775"/>
      <c r="AB59" s="775"/>
      <c r="AC59" s="775"/>
      <c r="AD59" s="775"/>
      <c r="AE59" s="775"/>
      <c r="AF59" s="775"/>
      <c r="AG59" s="775"/>
      <c r="AH59" s="775"/>
      <c r="AI59" s="775"/>
      <c r="AJ59" s="775"/>
      <c r="AK59" s="775"/>
      <c r="AL59" s="775"/>
      <c r="AM59" s="775"/>
      <c r="AN59" s="775"/>
      <c r="AO59" s="775"/>
      <c r="AP59" s="775"/>
      <c r="AQ59" s="775"/>
      <c r="AR59" s="775"/>
      <c r="AS59" s="775"/>
      <c r="AT59" s="775"/>
      <c r="AU59" s="775"/>
      <c r="AV59" s="775"/>
      <c r="AW59" s="775"/>
      <c r="AX59" s="775"/>
      <c r="AY59" s="775"/>
      <c r="AZ59" s="775"/>
      <c r="BA59" s="775"/>
      <c r="BB59" s="775"/>
      <c r="BC59" s="775"/>
      <c r="BD59" s="775"/>
      <c r="BE59" s="703"/>
    </row>
    <row r="60" spans="2:57" ht="13.5" customHeight="1">
      <c r="B60" s="773"/>
      <c r="C60" s="775" t="s">
        <v>749</v>
      </c>
      <c r="D60" s="775"/>
      <c r="E60" s="775"/>
      <c r="F60" s="775"/>
      <c r="G60" s="775"/>
      <c r="H60" s="775"/>
      <c r="I60" s="775"/>
      <c r="J60" s="775"/>
      <c r="K60" s="775"/>
      <c r="L60" s="775"/>
      <c r="M60" s="775"/>
      <c r="N60" s="775"/>
      <c r="O60" s="775"/>
      <c r="P60" s="775"/>
      <c r="Q60" s="775"/>
      <c r="R60" s="775"/>
      <c r="S60" s="775"/>
      <c r="T60" s="775"/>
      <c r="U60" s="775"/>
      <c r="V60" s="775"/>
      <c r="W60" s="775"/>
      <c r="X60" s="775"/>
      <c r="Y60" s="775"/>
      <c r="Z60" s="808" t="str">
        <f ca="1">IF(AND(test="O.K.",test_1="O.K."),IF(dospely=FALSE,"",IF(b="a","X","")),"?")</f>
        <v>?</v>
      </c>
      <c r="AA60" s="778" t="s">
        <v>750</v>
      </c>
      <c r="AB60" s="775"/>
      <c r="AC60" s="775"/>
      <c r="AD60" s="775"/>
      <c r="AE60" s="775"/>
      <c r="AF60" s="775"/>
      <c r="AG60" s="775"/>
      <c r="AH60" s="808" t="str">
        <f ca="1">IF(AND(test="O.K.",test_1="O.K."),IF(dospely=FALSE,"",IF(b="n","X","")),"?")</f>
        <v>?</v>
      </c>
      <c r="AI60" s="778" t="s">
        <v>751</v>
      </c>
      <c r="AJ60" s="775"/>
      <c r="AK60" s="775"/>
      <c r="AL60" s="775"/>
      <c r="AM60" s="775"/>
      <c r="AN60" s="775"/>
      <c r="AO60" s="775"/>
      <c r="AP60" s="775"/>
      <c r="AQ60" s="775"/>
      <c r="AR60" s="775"/>
      <c r="AS60" s="775"/>
      <c r="AT60" s="775"/>
      <c r="AU60" s="775"/>
      <c r="AV60" s="1406" t="str">
        <f ca="1">IF(dospely=FALSE,"",IF(AND(test="O.K.",test_1="O.K."),IF(b="a",Poistné!D25,""),"?"))</f>
        <v>?</v>
      </c>
      <c r="AW60" s="1407"/>
      <c r="AX60" s="1407"/>
      <c r="AY60" s="1407"/>
      <c r="AZ60" s="1407"/>
      <c r="BA60" s="1408"/>
      <c r="BB60" s="763" t="s">
        <v>80</v>
      </c>
      <c r="BC60" s="775"/>
      <c r="BD60" s="775"/>
      <c r="BE60" s="703"/>
    </row>
    <row r="61" spans="2:57" ht="3" customHeight="1" thickBot="1">
      <c r="B61" s="773"/>
      <c r="C61" s="775"/>
      <c r="D61" s="775"/>
      <c r="E61" s="775"/>
      <c r="F61" s="775"/>
      <c r="G61" s="775"/>
      <c r="H61" s="775"/>
      <c r="I61" s="775"/>
      <c r="J61" s="775"/>
      <c r="K61" s="775"/>
      <c r="L61" s="775"/>
      <c r="M61" s="775"/>
      <c r="N61" s="775"/>
      <c r="O61" s="775"/>
      <c r="P61" s="775"/>
      <c r="Q61" s="775"/>
      <c r="R61" s="775"/>
      <c r="S61" s="775"/>
      <c r="T61" s="775"/>
      <c r="U61" s="775"/>
      <c r="V61" s="775"/>
      <c r="W61" s="775"/>
      <c r="X61" s="775"/>
      <c r="Y61" s="775"/>
      <c r="Z61" s="775"/>
      <c r="AA61" s="775"/>
      <c r="AB61" s="775"/>
      <c r="AC61" s="775"/>
      <c r="AD61" s="775"/>
      <c r="AE61" s="775"/>
      <c r="AF61" s="775"/>
      <c r="AG61" s="775"/>
      <c r="AH61" s="775"/>
      <c r="AI61" s="775"/>
      <c r="AJ61" s="775"/>
      <c r="AK61" s="775"/>
      <c r="AL61" s="775"/>
      <c r="AM61" s="775"/>
      <c r="AN61" s="775"/>
      <c r="AO61" s="775"/>
      <c r="AP61" s="775"/>
      <c r="AQ61" s="775"/>
      <c r="AR61" s="775"/>
      <c r="AS61" s="775"/>
      <c r="AT61" s="775"/>
      <c r="AU61" s="775"/>
      <c r="AV61" s="775"/>
      <c r="AW61" s="775"/>
      <c r="AX61" s="775"/>
      <c r="AY61" s="775"/>
      <c r="AZ61" s="775"/>
      <c r="BA61" s="775"/>
      <c r="BB61" s="775"/>
      <c r="BC61" s="775"/>
      <c r="BD61" s="775"/>
      <c r="BE61" s="703"/>
    </row>
    <row r="62" spans="2:57" ht="3" customHeight="1" thickBot="1">
      <c r="B62" s="773"/>
      <c r="C62" s="775"/>
      <c r="D62" s="775"/>
      <c r="E62" s="775"/>
      <c r="F62" s="775"/>
      <c r="G62" s="775"/>
      <c r="H62" s="775"/>
      <c r="I62" s="775"/>
      <c r="J62" s="775"/>
      <c r="K62" s="775"/>
      <c r="L62" s="775"/>
      <c r="M62" s="775"/>
      <c r="N62" s="775"/>
      <c r="O62" s="775"/>
      <c r="P62" s="775"/>
      <c r="Q62" s="775"/>
      <c r="R62" s="775"/>
      <c r="S62" s="775"/>
      <c r="T62" s="775"/>
      <c r="U62" s="775"/>
      <c r="V62" s="775"/>
      <c r="W62" s="775"/>
      <c r="X62" s="775"/>
      <c r="Y62" s="775"/>
      <c r="Z62" s="775"/>
      <c r="AA62" s="775"/>
      <c r="AB62" s="775"/>
      <c r="AC62" s="775"/>
      <c r="AD62" s="775"/>
      <c r="AE62" s="775"/>
      <c r="AF62" s="775"/>
      <c r="AG62" s="775"/>
      <c r="AH62" s="775"/>
      <c r="AI62" s="775"/>
      <c r="AJ62" s="775"/>
      <c r="AK62" s="775"/>
      <c r="AL62" s="775"/>
      <c r="AM62" s="775"/>
      <c r="AN62" s="775"/>
      <c r="AO62" s="775"/>
      <c r="AP62" s="775"/>
      <c r="AQ62" s="775"/>
      <c r="AR62" s="775"/>
      <c r="AS62" s="775"/>
      <c r="AT62" s="775"/>
      <c r="AU62" s="742"/>
      <c r="AV62" s="742"/>
      <c r="AW62" s="742"/>
      <c r="AX62" s="742"/>
      <c r="AY62" s="742"/>
      <c r="AZ62" s="742"/>
      <c r="BA62" s="742"/>
      <c r="BB62" s="742"/>
      <c r="BC62" s="775"/>
      <c r="BD62" s="775"/>
      <c r="BE62" s="703"/>
    </row>
    <row r="63" spans="2:57" ht="13.5" customHeight="1" thickBot="1">
      <c r="B63" s="751"/>
      <c r="C63" s="753"/>
      <c r="D63" s="753"/>
      <c r="E63" s="753"/>
      <c r="F63" s="753"/>
      <c r="G63" s="753"/>
      <c r="H63" s="753"/>
      <c r="I63" s="753"/>
      <c r="J63" s="753"/>
      <c r="K63" s="753"/>
      <c r="L63" s="753"/>
      <c r="M63" s="753"/>
      <c r="N63" s="753"/>
      <c r="O63" s="753"/>
      <c r="P63" s="753"/>
      <c r="Q63" s="753"/>
      <c r="R63" s="753"/>
      <c r="S63" s="753"/>
      <c r="T63" s="753"/>
      <c r="U63" s="753"/>
      <c r="V63" s="753"/>
      <c r="W63" s="753"/>
      <c r="X63" s="753"/>
      <c r="Y63" s="753"/>
      <c r="Z63" s="753"/>
      <c r="AA63" s="753"/>
      <c r="AB63" s="753"/>
      <c r="AC63" s="753"/>
      <c r="AD63" s="753"/>
      <c r="AE63" s="753"/>
      <c r="AF63" s="753"/>
      <c r="AG63" s="753"/>
      <c r="AH63" s="753"/>
      <c r="AI63" s="753"/>
      <c r="AJ63" s="753"/>
      <c r="AK63" s="753"/>
      <c r="AL63" s="753"/>
      <c r="AM63" s="753"/>
      <c r="AN63" s="753"/>
      <c r="AO63" s="753"/>
      <c r="AP63" s="753"/>
      <c r="AQ63" s="753"/>
      <c r="AR63" s="753"/>
      <c r="AS63" s="764" t="s">
        <v>638</v>
      </c>
      <c r="AT63" s="753"/>
      <c r="AU63" s="753"/>
      <c r="AV63" s="1414" t="str">
        <f ca="1">IF(dospely=FALSE,"",IF(AND(test="O.K.",test_1="O.K."),Poistné!D26,"?"))</f>
        <v>?</v>
      </c>
      <c r="AW63" s="1415"/>
      <c r="AX63" s="1415"/>
      <c r="AY63" s="1415"/>
      <c r="AZ63" s="1415"/>
      <c r="BA63" s="1416"/>
      <c r="BB63" s="763" t="s">
        <v>80</v>
      </c>
      <c r="BC63" s="753"/>
      <c r="BD63" s="753"/>
      <c r="BE63" s="703"/>
    </row>
    <row r="64" spans="2:57" ht="28.5" customHeight="1" thickBot="1">
      <c r="B64" s="751"/>
      <c r="C64" s="1382" t="s">
        <v>933</v>
      </c>
      <c r="D64" s="1382"/>
      <c r="E64" s="1382"/>
      <c r="F64" s="1382"/>
      <c r="G64" s="1382"/>
      <c r="H64" s="1382"/>
      <c r="I64" s="1382"/>
      <c r="J64" s="1382"/>
      <c r="K64" s="1382"/>
      <c r="L64" s="1382"/>
      <c r="M64" s="1382"/>
      <c r="N64" s="1382"/>
      <c r="O64" s="1382"/>
      <c r="P64" s="1382"/>
      <c r="Q64" s="1382"/>
      <c r="R64" s="1382"/>
      <c r="S64" s="1382"/>
      <c r="T64" s="1382"/>
      <c r="U64" s="1382"/>
      <c r="V64" s="1382"/>
      <c r="W64" s="1382"/>
      <c r="X64" s="1382"/>
      <c r="Y64" s="1382"/>
      <c r="Z64" s="1382"/>
      <c r="AA64" s="1382"/>
      <c r="AB64" s="1382"/>
      <c r="AC64" s="1382"/>
      <c r="AD64" s="1382"/>
      <c r="AE64" s="1382"/>
      <c r="AF64" s="1382"/>
      <c r="AG64" s="1382"/>
      <c r="AH64" s="1382"/>
      <c r="AI64" s="1382"/>
      <c r="AJ64" s="1382"/>
      <c r="AK64" s="1382"/>
      <c r="AL64" s="1382"/>
      <c r="AM64" s="1382"/>
      <c r="AN64" s="1382"/>
      <c r="AO64" s="1382"/>
      <c r="AP64" s="1382"/>
      <c r="AQ64" s="1382"/>
      <c r="AR64" s="1382"/>
      <c r="AS64" s="1382"/>
      <c r="AT64" s="1382"/>
      <c r="AU64" s="1382"/>
      <c r="AV64" s="1382"/>
      <c r="AW64" s="1382"/>
      <c r="AX64" s="1382"/>
      <c r="AY64" s="1382"/>
      <c r="AZ64" s="1382"/>
      <c r="BA64" s="1382"/>
      <c r="BB64" s="1382"/>
      <c r="BC64" s="1382"/>
      <c r="BD64" s="1382"/>
      <c r="BE64" s="703"/>
    </row>
    <row r="65" spans="2:57" ht="2.25" customHeight="1">
      <c r="B65" s="973"/>
      <c r="C65" s="973"/>
      <c r="D65" s="973"/>
      <c r="E65" s="973"/>
      <c r="F65" s="973"/>
      <c r="G65" s="973"/>
      <c r="H65" s="973"/>
      <c r="I65" s="973"/>
      <c r="J65" s="973"/>
      <c r="K65" s="973"/>
      <c r="L65" s="973"/>
      <c r="M65" s="973"/>
      <c r="N65" s="973"/>
      <c r="O65" s="973"/>
      <c r="P65" s="973"/>
      <c r="Q65" s="973"/>
      <c r="R65" s="973"/>
      <c r="S65" s="973"/>
      <c r="T65" s="973"/>
      <c r="U65" s="973"/>
      <c r="V65" s="973"/>
      <c r="W65" s="973"/>
      <c r="X65" s="973"/>
      <c r="Y65" s="973"/>
      <c r="Z65" s="973"/>
      <c r="AA65" s="973"/>
      <c r="AB65" s="973"/>
      <c r="AC65" s="973"/>
      <c r="AD65" s="973"/>
      <c r="AE65" s="973"/>
      <c r="AF65" s="973"/>
      <c r="AG65" s="973"/>
      <c r="AH65" s="973"/>
      <c r="AI65" s="973"/>
      <c r="AJ65" s="973"/>
      <c r="AK65" s="973"/>
      <c r="AL65" s="973"/>
      <c r="AM65" s="973"/>
      <c r="AN65" s="973"/>
      <c r="AO65" s="973"/>
      <c r="AP65" s="973"/>
      <c r="AQ65" s="973"/>
      <c r="AR65" s="973"/>
      <c r="AS65" s="973"/>
      <c r="AT65" s="973"/>
      <c r="AU65" s="973"/>
      <c r="AV65" s="973"/>
      <c r="AW65" s="973"/>
      <c r="AX65" s="973"/>
      <c r="AY65" s="973"/>
      <c r="AZ65" s="973"/>
      <c r="BA65" s="973"/>
      <c r="BB65" s="973"/>
      <c r="BC65" s="973"/>
      <c r="BD65" s="973"/>
      <c r="BE65" s="936"/>
    </row>
    <row r="66" spans="2:57" ht="14.25" customHeight="1">
      <c r="B66" s="695"/>
      <c r="C66" s="696"/>
      <c r="D66" s="697"/>
      <c r="E66" s="698"/>
      <c r="F66" s="699"/>
      <c r="G66" s="698" t="s">
        <v>961</v>
      </c>
      <c r="H66" s="697"/>
      <c r="I66" s="697"/>
      <c r="J66" s="697"/>
      <c r="K66" s="697"/>
      <c r="L66" s="697"/>
      <c r="M66" s="697"/>
      <c r="N66" s="697"/>
      <c r="O66" s="700"/>
      <c r="P66" s="700"/>
      <c r="Q66" s="700"/>
      <c r="R66" s="700"/>
      <c r="S66" s="700"/>
      <c r="T66" s="700"/>
      <c r="U66" s="700"/>
      <c r="V66" s="700"/>
      <c r="W66" s="700"/>
      <c r="X66" s="700"/>
      <c r="Y66" s="700"/>
      <c r="Z66" s="700"/>
      <c r="AA66" s="700"/>
      <c r="AB66" s="700"/>
      <c r="AC66" s="700"/>
      <c r="AD66" s="700"/>
      <c r="AE66" s="700"/>
      <c r="AF66" s="700"/>
      <c r="AG66" s="700"/>
      <c r="AH66" s="700"/>
      <c r="AI66" s="700"/>
      <c r="AJ66" s="700"/>
      <c r="AK66" s="700"/>
      <c r="AL66" s="700"/>
      <c r="AM66" s="700"/>
      <c r="AN66" s="700"/>
      <c r="AO66" s="700"/>
      <c r="AP66" s="700"/>
      <c r="AQ66" s="700"/>
      <c r="AR66" s="700"/>
      <c r="AS66" s="700"/>
      <c r="AT66" s="700"/>
      <c r="AU66" s="700"/>
      <c r="AV66" s="700"/>
      <c r="AW66" s="700"/>
      <c r="AX66" s="700"/>
      <c r="AY66" s="700"/>
      <c r="AZ66" s="700"/>
      <c r="BA66" s="700"/>
      <c r="BB66" s="700"/>
      <c r="BC66" s="700"/>
      <c r="BD66" s="701" t="s">
        <v>942</v>
      </c>
    </row>
    <row r="67" spans="2:57" ht="15" customHeight="1">
      <c r="B67" s="753"/>
      <c r="C67" s="753"/>
      <c r="D67" s="753"/>
      <c r="E67" s="753"/>
      <c r="F67" s="753"/>
      <c r="G67" s="753"/>
      <c r="H67" s="753"/>
      <c r="I67" s="753"/>
      <c r="J67" s="753"/>
      <c r="K67" s="753"/>
      <c r="L67" s="753"/>
      <c r="M67" s="753"/>
      <c r="N67" s="753"/>
      <c r="O67" s="753"/>
      <c r="P67" s="753"/>
      <c r="Q67" s="753"/>
      <c r="R67" s="753"/>
      <c r="S67" s="753"/>
      <c r="T67" s="753"/>
      <c r="U67" s="753"/>
      <c r="V67" s="753"/>
      <c r="W67" s="753"/>
      <c r="X67" s="753"/>
      <c r="Y67" s="753"/>
      <c r="Z67" s="753"/>
      <c r="AA67" s="753"/>
      <c r="AB67" s="753"/>
      <c r="AC67" s="753"/>
      <c r="AD67" s="753"/>
      <c r="AE67" s="753"/>
      <c r="AF67" s="753"/>
      <c r="AG67" s="753"/>
      <c r="AH67" s="753"/>
      <c r="AI67" s="753"/>
      <c r="AJ67" s="753"/>
      <c r="AK67" s="753"/>
      <c r="AL67" s="753"/>
      <c r="AM67" s="753"/>
      <c r="AN67" s="753"/>
      <c r="AO67" s="753"/>
      <c r="AP67" s="753"/>
      <c r="AQ67" s="753"/>
      <c r="AR67" s="753"/>
      <c r="AS67" s="753"/>
      <c r="AT67" s="753"/>
      <c r="AU67" s="753"/>
      <c r="AV67" s="753"/>
      <c r="AW67" s="753"/>
      <c r="AX67" s="753"/>
      <c r="AY67" s="753"/>
      <c r="AZ67" s="753"/>
      <c r="BA67" s="753"/>
      <c r="BB67" s="753"/>
      <c r="BC67" s="753"/>
      <c r="BD67" s="753"/>
      <c r="BE67" s="943"/>
    </row>
    <row r="68" spans="2:57" ht="3" customHeight="1">
      <c r="B68" s="753"/>
      <c r="C68" s="753"/>
      <c r="D68" s="753"/>
      <c r="E68" s="753"/>
      <c r="F68" s="753"/>
      <c r="G68" s="753"/>
      <c r="H68" s="753"/>
      <c r="I68" s="753"/>
      <c r="J68" s="753"/>
      <c r="K68" s="753"/>
      <c r="L68" s="753"/>
      <c r="M68" s="753"/>
      <c r="N68" s="753"/>
      <c r="O68" s="753"/>
      <c r="P68" s="753"/>
      <c r="Q68" s="753"/>
      <c r="R68" s="753"/>
      <c r="S68" s="753"/>
      <c r="T68" s="753"/>
      <c r="U68" s="753"/>
      <c r="V68" s="753"/>
      <c r="W68" s="753"/>
      <c r="X68" s="753"/>
      <c r="Y68" s="753"/>
      <c r="Z68" s="753"/>
      <c r="AA68" s="753"/>
      <c r="AB68" s="753"/>
      <c r="AC68" s="753"/>
      <c r="AD68" s="753"/>
      <c r="AE68" s="753"/>
      <c r="AF68" s="753"/>
      <c r="AG68" s="753"/>
      <c r="AH68" s="753"/>
      <c r="AI68" s="753"/>
      <c r="AJ68" s="753"/>
      <c r="AK68" s="753"/>
      <c r="AL68" s="753"/>
      <c r="AM68" s="753"/>
      <c r="AN68" s="753"/>
      <c r="AO68" s="753"/>
      <c r="AP68" s="753"/>
      <c r="AQ68" s="753"/>
      <c r="AR68" s="753"/>
      <c r="AS68" s="753"/>
      <c r="AT68" s="753"/>
      <c r="AU68" s="753"/>
      <c r="AV68" s="753"/>
      <c r="AW68" s="753"/>
      <c r="AX68" s="753"/>
      <c r="AY68" s="753"/>
      <c r="AZ68" s="753"/>
      <c r="BA68" s="753"/>
      <c r="BB68" s="753"/>
      <c r="BC68" s="753"/>
      <c r="BD68" s="753"/>
      <c r="BE68" s="943"/>
    </row>
    <row r="69" spans="2:57" ht="12.75" customHeight="1">
      <c r="B69" s="684"/>
      <c r="C69" s="684"/>
      <c r="D69" s="684"/>
      <c r="E69" s="684"/>
      <c r="F69" s="684"/>
      <c r="G69" s="684"/>
      <c r="H69" s="684"/>
      <c r="I69" s="684"/>
      <c r="J69" s="684"/>
      <c r="K69" s="684"/>
      <c r="L69" s="684"/>
      <c r="M69" s="684"/>
      <c r="N69" s="684"/>
      <c r="O69" s="684"/>
      <c r="P69" s="684"/>
      <c r="Q69" s="684"/>
      <c r="R69" s="684"/>
      <c r="S69" s="684"/>
      <c r="T69" s="684"/>
      <c r="U69" s="684"/>
      <c r="V69" s="684"/>
      <c r="W69" s="684"/>
      <c r="X69" s="684"/>
      <c r="Y69" s="684"/>
      <c r="Z69" s="684"/>
      <c r="AA69" s="684"/>
      <c r="AB69" s="684"/>
      <c r="AC69" s="684"/>
      <c r="AD69" s="684"/>
      <c r="AE69" s="684"/>
      <c r="AF69" s="684"/>
      <c r="AG69" s="684"/>
      <c r="AH69" s="684"/>
      <c r="AI69" s="684"/>
      <c r="AJ69" s="684"/>
      <c r="AK69" s="684"/>
      <c r="AL69" s="684"/>
      <c r="AM69" s="684"/>
      <c r="AN69" s="684"/>
      <c r="AO69" s="684"/>
      <c r="AP69" s="684"/>
      <c r="AQ69" s="684"/>
      <c r="AR69" s="684"/>
      <c r="AS69" s="684"/>
      <c r="AT69" s="684"/>
      <c r="AU69" s="684"/>
      <c r="AV69" s="684"/>
      <c r="AW69" s="684"/>
      <c r="AX69" s="684"/>
      <c r="AY69" s="684"/>
      <c r="AZ69" s="684"/>
      <c r="BA69" s="684"/>
      <c r="BB69" s="684"/>
      <c r="BC69" s="684"/>
      <c r="BD69" s="684"/>
      <c r="BE69" s="684"/>
    </row>
    <row r="70" spans="2:57">
      <c r="B70" s="684"/>
      <c r="C70" s="684"/>
      <c r="D70" s="684"/>
      <c r="E70" s="684"/>
      <c r="F70" s="684"/>
      <c r="G70" s="684"/>
      <c r="H70" s="684"/>
      <c r="I70" s="684"/>
      <c r="J70" s="684"/>
      <c r="K70" s="684"/>
      <c r="L70" s="684"/>
      <c r="M70" s="684"/>
      <c r="N70" s="684"/>
      <c r="O70" s="684"/>
      <c r="P70" s="684"/>
      <c r="Q70" s="684"/>
      <c r="R70" s="684"/>
      <c r="S70" s="684"/>
      <c r="T70" s="684"/>
      <c r="U70" s="684"/>
      <c r="V70" s="684"/>
      <c r="W70" s="684"/>
      <c r="X70" s="684"/>
      <c r="Y70" s="684"/>
      <c r="Z70" s="684"/>
      <c r="AA70" s="684"/>
      <c r="AB70" s="684"/>
      <c r="AC70" s="684"/>
      <c r="AD70" s="684"/>
      <c r="AE70" s="684"/>
      <c r="AF70" s="684"/>
      <c r="AG70" s="684"/>
      <c r="AH70" s="684"/>
      <c r="AI70" s="684"/>
      <c r="AJ70" s="684"/>
      <c r="AK70" s="684"/>
      <c r="AL70" s="684"/>
      <c r="AM70" s="684"/>
      <c r="AN70" s="684"/>
      <c r="AO70" s="684"/>
      <c r="AP70" s="684"/>
      <c r="AQ70" s="684"/>
      <c r="AR70" s="684"/>
      <c r="AS70" s="684"/>
      <c r="AT70" s="684"/>
      <c r="AU70" s="684"/>
      <c r="AV70" s="684"/>
      <c r="AW70" s="684"/>
      <c r="AX70" s="684"/>
      <c r="AY70" s="684"/>
      <c r="AZ70" s="684"/>
      <c r="BA70" s="684"/>
      <c r="BB70" s="684"/>
      <c r="BC70" s="684"/>
      <c r="BD70" s="684"/>
      <c r="BE70" s="684"/>
    </row>
    <row r="71" spans="2:57" ht="12.75" customHeight="1">
      <c r="B71" s="684"/>
      <c r="C71" s="684"/>
      <c r="D71" s="684"/>
      <c r="E71" s="684"/>
      <c r="F71" s="684"/>
      <c r="G71" s="684"/>
      <c r="H71" s="684"/>
      <c r="I71" s="684"/>
      <c r="J71" s="684"/>
      <c r="K71" s="684"/>
      <c r="L71" s="684"/>
      <c r="M71" s="684"/>
      <c r="N71" s="684"/>
      <c r="O71" s="684"/>
      <c r="P71" s="684"/>
      <c r="Q71" s="684"/>
      <c r="R71" s="684"/>
      <c r="S71" s="684"/>
      <c r="T71" s="684"/>
      <c r="U71" s="684"/>
      <c r="V71" s="684"/>
      <c r="W71" s="684"/>
      <c r="X71" s="684"/>
      <c r="Y71" s="684"/>
      <c r="Z71" s="684"/>
      <c r="AA71" s="684"/>
      <c r="AB71" s="684"/>
      <c r="AC71" s="684"/>
      <c r="AD71" s="684"/>
      <c r="AE71" s="684"/>
      <c r="AF71" s="684"/>
      <c r="AG71" s="684"/>
      <c r="AH71" s="684"/>
      <c r="AI71" s="684"/>
      <c r="AJ71" s="684"/>
      <c r="AK71" s="684"/>
      <c r="AL71" s="684"/>
      <c r="AM71" s="684"/>
      <c r="AN71" s="684"/>
      <c r="AO71" s="684"/>
      <c r="AP71" s="684"/>
      <c r="AQ71" s="684"/>
      <c r="AR71" s="684"/>
      <c r="AS71" s="684"/>
      <c r="AT71" s="684"/>
      <c r="AU71" s="684"/>
      <c r="AV71" s="684"/>
      <c r="AW71" s="684"/>
      <c r="AX71" s="684"/>
      <c r="AY71" s="684"/>
      <c r="AZ71" s="684"/>
      <c r="BA71" s="684"/>
      <c r="BB71" s="684"/>
      <c r="BC71" s="684"/>
      <c r="BD71" s="684"/>
      <c r="BE71" s="684"/>
    </row>
    <row r="72" spans="2:57" ht="3" customHeight="1">
      <c r="B72" s="684"/>
      <c r="C72" s="684"/>
      <c r="D72" s="684"/>
      <c r="E72" s="684"/>
      <c r="F72" s="684"/>
      <c r="G72" s="684"/>
      <c r="H72" s="684"/>
      <c r="I72" s="684"/>
      <c r="J72" s="684"/>
      <c r="K72" s="684"/>
      <c r="L72" s="684"/>
      <c r="M72" s="684"/>
      <c r="N72" s="684"/>
      <c r="O72" s="684"/>
      <c r="P72" s="684"/>
      <c r="Q72" s="684"/>
      <c r="R72" s="684"/>
      <c r="S72" s="684"/>
      <c r="T72" s="684"/>
      <c r="U72" s="684"/>
      <c r="V72" s="684"/>
      <c r="W72" s="684"/>
      <c r="X72" s="684"/>
      <c r="Y72" s="684"/>
      <c r="Z72" s="684"/>
      <c r="AA72" s="684"/>
      <c r="AB72" s="684"/>
      <c r="AC72" s="684"/>
      <c r="AD72" s="684"/>
      <c r="AE72" s="684"/>
      <c r="AF72" s="684"/>
      <c r="AG72" s="684"/>
      <c r="AH72" s="684"/>
      <c r="AI72" s="684"/>
      <c r="AJ72" s="684"/>
      <c r="AK72" s="684"/>
      <c r="AL72" s="684"/>
      <c r="AM72" s="684"/>
      <c r="AN72" s="684"/>
      <c r="AO72" s="684"/>
      <c r="AP72" s="684"/>
      <c r="AQ72" s="684"/>
      <c r="AR72" s="684"/>
      <c r="AS72" s="684"/>
      <c r="AT72" s="684"/>
      <c r="AU72" s="684"/>
      <c r="AV72" s="684"/>
      <c r="AW72" s="684"/>
      <c r="AX72" s="684"/>
      <c r="AY72" s="684"/>
      <c r="AZ72" s="684"/>
      <c r="BA72" s="684"/>
      <c r="BB72" s="684"/>
      <c r="BC72" s="684"/>
      <c r="BD72" s="684"/>
      <c r="BE72" s="684"/>
    </row>
    <row r="73" spans="2:57" ht="12.75" customHeight="1">
      <c r="B73" s="684"/>
      <c r="C73" s="684"/>
      <c r="D73" s="684"/>
      <c r="E73" s="684"/>
      <c r="F73" s="684"/>
      <c r="G73" s="684"/>
      <c r="H73" s="684"/>
      <c r="I73" s="684"/>
      <c r="J73" s="684"/>
      <c r="K73" s="684"/>
      <c r="L73" s="684"/>
      <c r="M73" s="684"/>
      <c r="N73" s="684"/>
      <c r="O73" s="684"/>
      <c r="P73" s="684"/>
      <c r="Q73" s="684"/>
      <c r="R73" s="684"/>
      <c r="S73" s="684"/>
      <c r="T73" s="684"/>
      <c r="U73" s="684"/>
      <c r="V73" s="684"/>
      <c r="W73" s="684"/>
      <c r="X73" s="684"/>
      <c r="Y73" s="684"/>
      <c r="Z73" s="684"/>
      <c r="AA73" s="684"/>
      <c r="AB73" s="684"/>
      <c r="AC73" s="684"/>
      <c r="AD73" s="684"/>
      <c r="AE73" s="684"/>
      <c r="AF73" s="684"/>
      <c r="AG73" s="684"/>
      <c r="AH73" s="684"/>
      <c r="AI73" s="684"/>
      <c r="AJ73" s="684"/>
      <c r="AK73" s="684"/>
      <c r="AL73" s="684"/>
      <c r="AM73" s="684"/>
      <c r="AN73" s="684"/>
      <c r="AO73" s="684"/>
      <c r="AP73" s="684"/>
      <c r="AQ73" s="684"/>
      <c r="AR73" s="684"/>
      <c r="AS73" s="684"/>
      <c r="AT73" s="684"/>
      <c r="AU73" s="684"/>
      <c r="AV73" s="684"/>
      <c r="AW73" s="684"/>
      <c r="AX73" s="684"/>
      <c r="AY73" s="684"/>
      <c r="AZ73" s="684"/>
      <c r="BA73" s="684"/>
      <c r="BB73" s="684"/>
      <c r="BC73" s="684"/>
      <c r="BD73" s="684"/>
      <c r="BE73" s="684"/>
    </row>
    <row r="74" spans="2:57" ht="3" customHeight="1">
      <c r="B74" s="684"/>
      <c r="C74" s="684"/>
      <c r="D74" s="684"/>
      <c r="E74" s="684"/>
      <c r="F74" s="684"/>
      <c r="G74" s="684"/>
      <c r="H74" s="684"/>
      <c r="I74" s="684"/>
      <c r="J74" s="684"/>
      <c r="K74" s="684"/>
      <c r="L74" s="684"/>
      <c r="M74" s="684"/>
      <c r="N74" s="684"/>
      <c r="O74" s="684"/>
      <c r="P74" s="684"/>
      <c r="Q74" s="684"/>
      <c r="R74" s="684"/>
      <c r="S74" s="684"/>
      <c r="T74" s="684"/>
      <c r="U74" s="684"/>
      <c r="V74" s="684"/>
      <c r="W74" s="684"/>
      <c r="X74" s="684"/>
      <c r="Y74" s="684"/>
      <c r="Z74" s="684"/>
      <c r="AA74" s="684"/>
      <c r="AB74" s="684"/>
      <c r="AC74" s="684"/>
      <c r="AD74" s="684"/>
      <c r="AE74" s="684"/>
      <c r="AF74" s="684"/>
      <c r="AG74" s="684"/>
      <c r="AH74" s="684"/>
      <c r="AI74" s="684"/>
      <c r="AJ74" s="684"/>
      <c r="AK74" s="684"/>
      <c r="AL74" s="684"/>
      <c r="AM74" s="684"/>
      <c r="AN74" s="684"/>
      <c r="AO74" s="684"/>
      <c r="AP74" s="684"/>
      <c r="AQ74" s="684"/>
      <c r="AR74" s="684"/>
      <c r="AS74" s="684"/>
      <c r="AT74" s="684"/>
      <c r="AU74" s="684"/>
      <c r="AV74" s="684"/>
      <c r="AW74" s="684"/>
      <c r="AX74" s="684"/>
      <c r="AY74" s="684"/>
      <c r="AZ74" s="684"/>
      <c r="BA74" s="684"/>
      <c r="BB74" s="684"/>
      <c r="BC74" s="684"/>
      <c r="BD74" s="684"/>
      <c r="BE74" s="684"/>
    </row>
    <row r="75" spans="2:57" ht="12.75" customHeight="1">
      <c r="B75" s="684"/>
      <c r="C75" s="684"/>
      <c r="D75" s="684"/>
      <c r="E75" s="684"/>
      <c r="F75" s="684"/>
      <c r="G75" s="684"/>
      <c r="H75" s="684"/>
      <c r="I75" s="684"/>
      <c r="J75" s="684"/>
      <c r="K75" s="684"/>
      <c r="L75" s="684"/>
      <c r="M75" s="684"/>
      <c r="N75" s="684"/>
      <c r="O75" s="684"/>
      <c r="P75" s="684"/>
      <c r="Q75" s="684"/>
      <c r="R75" s="684"/>
      <c r="S75" s="684"/>
      <c r="T75" s="684"/>
      <c r="U75" s="684"/>
      <c r="V75" s="684"/>
      <c r="W75" s="684"/>
      <c r="X75" s="684"/>
      <c r="Y75" s="684"/>
      <c r="Z75" s="684"/>
      <c r="AA75" s="684"/>
      <c r="AB75" s="684"/>
      <c r="AC75" s="684"/>
      <c r="AD75" s="684"/>
      <c r="AE75" s="684"/>
      <c r="AF75" s="684"/>
      <c r="AG75" s="684"/>
      <c r="AH75" s="684"/>
      <c r="AI75" s="684"/>
      <c r="AJ75" s="684"/>
      <c r="AK75" s="684"/>
      <c r="AL75" s="684"/>
      <c r="AM75" s="684"/>
      <c r="AN75" s="684"/>
      <c r="AO75" s="684"/>
      <c r="AP75" s="684"/>
      <c r="AQ75" s="684"/>
      <c r="AR75" s="684"/>
      <c r="AS75" s="684"/>
      <c r="AT75" s="684"/>
      <c r="AU75" s="684"/>
      <c r="AV75" s="684"/>
      <c r="AW75" s="684"/>
      <c r="AX75" s="684"/>
      <c r="AY75" s="684"/>
      <c r="AZ75" s="684"/>
      <c r="BA75" s="684"/>
      <c r="BB75" s="684"/>
      <c r="BC75" s="684"/>
      <c r="BD75" s="684"/>
      <c r="BE75" s="684"/>
    </row>
    <row r="76" spans="2:57" ht="3" customHeight="1">
      <c r="B76" s="684"/>
      <c r="C76" s="684"/>
      <c r="D76" s="684"/>
      <c r="E76" s="684"/>
      <c r="F76" s="684"/>
      <c r="G76" s="684"/>
      <c r="H76" s="684"/>
      <c r="I76" s="684"/>
      <c r="J76" s="684"/>
      <c r="K76" s="684"/>
      <c r="L76" s="684"/>
      <c r="M76" s="684"/>
      <c r="N76" s="684"/>
      <c r="O76" s="684"/>
      <c r="P76" s="684"/>
      <c r="Q76" s="684"/>
      <c r="R76" s="684"/>
      <c r="S76" s="684"/>
      <c r="T76" s="684"/>
      <c r="U76" s="684"/>
      <c r="V76" s="684"/>
      <c r="W76" s="684"/>
      <c r="X76" s="684"/>
      <c r="Y76" s="684"/>
      <c r="Z76" s="684"/>
      <c r="AA76" s="684"/>
      <c r="AB76" s="684"/>
      <c r="AC76" s="684"/>
      <c r="AD76" s="684"/>
      <c r="AE76" s="684"/>
      <c r="AF76" s="684"/>
      <c r="AG76" s="684"/>
      <c r="AH76" s="684"/>
      <c r="AI76" s="684"/>
      <c r="AJ76" s="684"/>
      <c r="AK76" s="684"/>
      <c r="AL76" s="684"/>
      <c r="AM76" s="684"/>
      <c r="AN76" s="684"/>
      <c r="AO76" s="684"/>
      <c r="AP76" s="684"/>
      <c r="AQ76" s="684"/>
      <c r="AR76" s="684"/>
      <c r="AS76" s="684"/>
      <c r="AT76" s="684"/>
      <c r="AU76" s="684"/>
      <c r="AV76" s="684"/>
      <c r="AW76" s="684"/>
      <c r="AX76" s="684"/>
      <c r="AY76" s="684"/>
      <c r="AZ76" s="684"/>
      <c r="BA76" s="684"/>
      <c r="BB76" s="684"/>
      <c r="BC76" s="684"/>
      <c r="BD76" s="684"/>
      <c r="BE76" s="684"/>
    </row>
    <row r="77" spans="2:57" ht="3" customHeight="1">
      <c r="B77" s="684"/>
      <c r="C77" s="684"/>
      <c r="D77" s="684"/>
      <c r="E77" s="684"/>
      <c r="F77" s="684"/>
      <c r="G77" s="684"/>
      <c r="H77" s="684"/>
      <c r="I77" s="684"/>
      <c r="J77" s="684"/>
      <c r="K77" s="684"/>
      <c r="L77" s="684"/>
      <c r="M77" s="684"/>
      <c r="N77" s="684"/>
      <c r="O77" s="684"/>
      <c r="P77" s="684"/>
      <c r="Q77" s="684"/>
      <c r="R77" s="684"/>
      <c r="S77" s="684"/>
      <c r="T77" s="684"/>
      <c r="U77" s="684"/>
      <c r="V77" s="684"/>
      <c r="W77" s="684"/>
      <c r="X77" s="684"/>
      <c r="Y77" s="684"/>
      <c r="Z77" s="684"/>
      <c r="AA77" s="684"/>
      <c r="AB77" s="684"/>
      <c r="AC77" s="684"/>
      <c r="AD77" s="684"/>
      <c r="AE77" s="684"/>
      <c r="AF77" s="684"/>
      <c r="AG77" s="684"/>
      <c r="AH77" s="684"/>
      <c r="AI77" s="684"/>
      <c r="AJ77" s="684"/>
      <c r="AK77" s="684"/>
      <c r="AL77" s="684"/>
      <c r="AM77" s="684"/>
      <c r="AN77" s="684"/>
      <c r="AO77" s="684"/>
      <c r="AP77" s="684"/>
      <c r="AQ77" s="684"/>
      <c r="AR77" s="684"/>
      <c r="AS77" s="684"/>
      <c r="AT77" s="684"/>
      <c r="AU77" s="684"/>
      <c r="AV77" s="684"/>
      <c r="AW77" s="684"/>
      <c r="AX77" s="684"/>
      <c r="AY77" s="684"/>
      <c r="AZ77" s="684"/>
      <c r="BA77" s="684"/>
      <c r="BB77" s="684"/>
      <c r="BC77" s="684"/>
      <c r="BD77" s="684"/>
      <c r="BE77" s="684"/>
    </row>
    <row r="78" spans="2:57" ht="13.5" customHeight="1">
      <c r="B78" s="684"/>
      <c r="C78" s="684"/>
      <c r="D78" s="684"/>
      <c r="E78" s="684"/>
      <c r="F78" s="684"/>
      <c r="G78" s="684"/>
      <c r="H78" s="684"/>
      <c r="I78" s="684"/>
      <c r="J78" s="684"/>
      <c r="K78" s="684"/>
      <c r="L78" s="684"/>
      <c r="M78" s="684"/>
      <c r="N78" s="684"/>
      <c r="O78" s="684"/>
      <c r="P78" s="684"/>
      <c r="Q78" s="684"/>
      <c r="R78" s="684"/>
      <c r="S78" s="684"/>
      <c r="T78" s="684"/>
      <c r="U78" s="684"/>
      <c r="V78" s="684"/>
      <c r="W78" s="684"/>
      <c r="X78" s="684"/>
      <c r="Y78" s="684"/>
      <c r="Z78" s="684"/>
      <c r="AA78" s="684"/>
      <c r="AB78" s="684"/>
      <c r="AC78" s="684"/>
      <c r="AD78" s="684"/>
      <c r="AE78" s="684"/>
      <c r="AF78" s="684"/>
      <c r="AG78" s="684"/>
      <c r="AH78" s="684"/>
      <c r="AI78" s="684"/>
      <c r="AJ78" s="684"/>
      <c r="AK78" s="684"/>
      <c r="AL78" s="684"/>
      <c r="AM78" s="684"/>
      <c r="AN78" s="684"/>
      <c r="AO78" s="684"/>
      <c r="AP78" s="684"/>
      <c r="AQ78" s="684"/>
      <c r="AR78" s="684"/>
      <c r="AS78" s="684"/>
      <c r="AT78" s="684"/>
      <c r="AU78" s="684"/>
      <c r="AV78" s="684"/>
      <c r="AW78" s="684"/>
      <c r="AX78" s="684"/>
      <c r="AY78" s="684"/>
      <c r="AZ78" s="684"/>
      <c r="BA78" s="684"/>
      <c r="BB78" s="684"/>
      <c r="BC78" s="684"/>
      <c r="BD78" s="684"/>
      <c r="BE78" s="684"/>
    </row>
    <row r="79" spans="2:57" ht="27.75" customHeight="1">
      <c r="B79" s="684"/>
      <c r="C79" s="684"/>
      <c r="D79" s="684"/>
      <c r="E79" s="684"/>
      <c r="F79" s="684"/>
      <c r="G79" s="684"/>
      <c r="H79" s="684"/>
      <c r="I79" s="684"/>
      <c r="J79" s="684"/>
      <c r="K79" s="684"/>
      <c r="L79" s="684"/>
      <c r="M79" s="684"/>
      <c r="N79" s="684"/>
      <c r="O79" s="684"/>
      <c r="P79" s="684"/>
      <c r="Q79" s="684"/>
      <c r="R79" s="684"/>
      <c r="S79" s="684"/>
      <c r="T79" s="684"/>
      <c r="U79" s="684"/>
      <c r="V79" s="684"/>
      <c r="W79" s="684"/>
      <c r="X79" s="684"/>
      <c r="Y79" s="684"/>
      <c r="Z79" s="684"/>
      <c r="AA79" s="684"/>
      <c r="AB79" s="684"/>
      <c r="AC79" s="684"/>
      <c r="AD79" s="684"/>
      <c r="AE79" s="684"/>
      <c r="AF79" s="684"/>
      <c r="AG79" s="684"/>
      <c r="AH79" s="684"/>
      <c r="AI79" s="684"/>
      <c r="AJ79" s="684"/>
      <c r="AK79" s="684"/>
      <c r="AL79" s="684"/>
      <c r="AM79" s="684"/>
      <c r="AN79" s="684"/>
      <c r="AO79" s="684"/>
      <c r="AP79" s="684"/>
      <c r="AQ79" s="684"/>
      <c r="AR79" s="684"/>
      <c r="AS79" s="684"/>
      <c r="AT79" s="684"/>
      <c r="AU79" s="684"/>
      <c r="AV79" s="684"/>
      <c r="AW79" s="684"/>
      <c r="AX79" s="684"/>
      <c r="AY79" s="684"/>
      <c r="AZ79" s="684"/>
      <c r="BA79" s="684"/>
      <c r="BB79" s="684"/>
      <c r="BC79" s="684"/>
      <c r="BD79" s="684"/>
      <c r="BE79" s="684"/>
    </row>
    <row r="80" spans="2:57" ht="9" customHeight="1">
      <c r="B80" s="684"/>
      <c r="C80" s="684"/>
      <c r="D80" s="684"/>
      <c r="E80" s="684"/>
      <c r="F80" s="684"/>
      <c r="G80" s="684"/>
      <c r="H80" s="684"/>
      <c r="I80" s="684"/>
      <c r="J80" s="684"/>
      <c r="K80" s="684"/>
      <c r="L80" s="684"/>
      <c r="M80" s="684"/>
      <c r="N80" s="684"/>
      <c r="O80" s="684"/>
      <c r="P80" s="684"/>
      <c r="Q80" s="684"/>
      <c r="R80" s="684"/>
      <c r="S80" s="684"/>
      <c r="T80" s="684"/>
      <c r="U80" s="684"/>
      <c r="V80" s="684"/>
      <c r="W80" s="684"/>
      <c r="X80" s="684"/>
      <c r="Y80" s="684"/>
      <c r="Z80" s="684"/>
      <c r="AA80" s="684"/>
      <c r="AB80" s="684"/>
      <c r="AC80" s="684"/>
      <c r="AD80" s="684"/>
      <c r="AE80" s="684"/>
      <c r="AF80" s="684"/>
      <c r="AG80" s="684"/>
      <c r="AH80" s="684"/>
      <c r="AI80" s="684"/>
      <c r="AJ80" s="684"/>
      <c r="AK80" s="684"/>
      <c r="AL80" s="684"/>
      <c r="AM80" s="684"/>
      <c r="AN80" s="684"/>
      <c r="AO80" s="684"/>
      <c r="AP80" s="684"/>
      <c r="AQ80" s="684"/>
      <c r="AR80" s="684"/>
      <c r="AS80" s="684"/>
      <c r="AT80" s="684"/>
      <c r="AU80" s="684"/>
      <c r="AV80" s="684"/>
      <c r="AW80" s="684"/>
      <c r="AX80" s="684"/>
      <c r="AY80" s="684"/>
      <c r="AZ80" s="684"/>
      <c r="BA80" s="684"/>
      <c r="BB80" s="684"/>
      <c r="BC80" s="684"/>
      <c r="BD80" s="684"/>
    </row>
    <row r="81" spans="2:56" ht="17.25" customHeight="1">
      <c r="B81" s="695"/>
      <c r="C81" s="696"/>
      <c r="D81" s="697"/>
      <c r="E81" s="698"/>
      <c r="F81" s="699"/>
      <c r="G81" s="697"/>
      <c r="H81" s="697"/>
      <c r="I81" s="697"/>
      <c r="J81" s="697"/>
      <c r="K81" s="697"/>
      <c r="L81" s="697"/>
      <c r="M81" s="697"/>
      <c r="N81" s="697"/>
      <c r="O81" s="700"/>
      <c r="P81" s="700"/>
      <c r="Q81" s="700"/>
      <c r="R81" s="700"/>
      <c r="S81" s="700"/>
      <c r="T81" s="700"/>
      <c r="U81" s="700"/>
      <c r="V81" s="700"/>
      <c r="W81" s="700"/>
      <c r="X81" s="700"/>
      <c r="Y81" s="700"/>
      <c r="Z81" s="700"/>
      <c r="AA81" s="700"/>
      <c r="AB81" s="700"/>
      <c r="AC81" s="700"/>
      <c r="AD81" s="700"/>
      <c r="AE81" s="700"/>
      <c r="AF81" s="700"/>
      <c r="AG81" s="700"/>
      <c r="AH81" s="700"/>
      <c r="AI81" s="700"/>
      <c r="AJ81" s="700"/>
      <c r="AK81" s="700"/>
      <c r="AL81" s="700"/>
      <c r="AM81" s="700"/>
      <c r="AN81" s="700"/>
      <c r="AO81" s="700"/>
      <c r="AP81" s="700"/>
      <c r="AQ81" s="700"/>
      <c r="AR81" s="700"/>
      <c r="AS81" s="700"/>
      <c r="AT81" s="700"/>
      <c r="AU81" s="700"/>
      <c r="AV81" s="700"/>
      <c r="AW81" s="700"/>
      <c r="AX81" s="700"/>
      <c r="AY81" s="700"/>
      <c r="AZ81" s="700"/>
      <c r="BA81" s="700"/>
      <c r="BB81" s="700"/>
      <c r="BC81" s="700"/>
      <c r="BD81" s="701"/>
    </row>
  </sheetData>
  <sheetProtection algorithmName="SHA-512" hashValue="0oyGgzCZ0A09RDfpO8tBTpnUExc7D7UYl8FD01LAk8KWie/NwbdAVUiahSngy+WPEFl+uE9zu4FnOqToEZSmCQ==" saltValue="yXeUHq07OLfMf27+RUTFjA==" spinCount="100000" sheet="1" objects="1" scenarios="1"/>
  <mergeCells count="74">
    <mergeCell ref="AV63:BA63"/>
    <mergeCell ref="AL56:AQ56"/>
    <mergeCell ref="AL58:AQ58"/>
    <mergeCell ref="AV50:BA50"/>
    <mergeCell ref="AV52:BA52"/>
    <mergeCell ref="AV54:BA54"/>
    <mergeCell ref="AV56:BA56"/>
    <mergeCell ref="AV58:BA58"/>
    <mergeCell ref="AL50:AQ50"/>
    <mergeCell ref="AL52:AQ52"/>
    <mergeCell ref="AL54:AQ54"/>
    <mergeCell ref="AN41:BD41"/>
    <mergeCell ref="AV46:BA46"/>
    <mergeCell ref="AL46:AQ46"/>
    <mergeCell ref="AV2:BB2"/>
    <mergeCell ref="AV60:BA60"/>
    <mergeCell ref="AL48:AQ48"/>
    <mergeCell ref="AV48:BA48"/>
    <mergeCell ref="BB34:BC34"/>
    <mergeCell ref="AX30:BA30"/>
    <mergeCell ref="AT30:AU30"/>
    <mergeCell ref="AV30:AW30"/>
    <mergeCell ref="AG33:BC33"/>
    <mergeCell ref="AK34:AY34"/>
    <mergeCell ref="AI20:AN20"/>
    <mergeCell ref="AT20:BD20"/>
    <mergeCell ref="G21:AH21"/>
    <mergeCell ref="AE30:AF30"/>
    <mergeCell ref="C33:AD33"/>
    <mergeCell ref="I34:Z34"/>
    <mergeCell ref="AC34:AD34"/>
    <mergeCell ref="M30:N30"/>
    <mergeCell ref="O30:P30"/>
    <mergeCell ref="Q30:T30"/>
    <mergeCell ref="G15:AB15"/>
    <mergeCell ref="AM15:BD15"/>
    <mergeCell ref="H11:V11"/>
    <mergeCell ref="AY13:BD13"/>
    <mergeCell ref="C13:S13"/>
    <mergeCell ref="Z11:AI11"/>
    <mergeCell ref="AM11:AR11"/>
    <mergeCell ref="T13:AF13"/>
    <mergeCell ref="AJ12:AU12"/>
    <mergeCell ref="N12:AF12"/>
    <mergeCell ref="AJ13:AU13"/>
    <mergeCell ref="G14:P14"/>
    <mergeCell ref="X14:AA14"/>
    <mergeCell ref="AI14:AN14"/>
    <mergeCell ref="AT14:BD14"/>
    <mergeCell ref="AX12:BD12"/>
    <mergeCell ref="X20:AB20"/>
    <mergeCell ref="H18:V18"/>
    <mergeCell ref="Z18:AJ18"/>
    <mergeCell ref="AN18:AR18"/>
    <mergeCell ref="AW18:BD18"/>
    <mergeCell ref="N19:AD19"/>
    <mergeCell ref="AH19:AU19"/>
    <mergeCell ref="AX19:BD19"/>
    <mergeCell ref="C64:BD64"/>
    <mergeCell ref="B6:BE6"/>
    <mergeCell ref="AW11:BD11"/>
    <mergeCell ref="W24:AC24"/>
    <mergeCell ref="W25:AC25"/>
    <mergeCell ref="W26:AC26"/>
    <mergeCell ref="F24:V24"/>
    <mergeCell ref="F25:V25"/>
    <mergeCell ref="F26:V26"/>
    <mergeCell ref="G20:P20"/>
    <mergeCell ref="AD25:AK25"/>
    <mergeCell ref="AD26:AK26"/>
    <mergeCell ref="AL24:BD24"/>
    <mergeCell ref="AL25:BD25"/>
    <mergeCell ref="AL26:BD26"/>
    <mergeCell ref="AD24:AK24"/>
  </mergeCells>
  <printOptions horizontalCentered="1"/>
  <pageMargins left="0.11811023622047245" right="0.11811023622047245" top="0.31496062992125984" bottom="0.11811023622047245" header="0" footer="0"/>
  <pageSetup paperSize="9" scale="98" fitToHeight="0"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4">
    <tabColor rgb="FFC00000"/>
  </sheetPr>
  <dimension ref="B2:CJ95"/>
  <sheetViews>
    <sheetView zoomScale="110" zoomScaleNormal="110" workbookViewId="0">
      <pane ySplit="3" topLeftCell="A4" activePane="bottomLeft" state="frozen"/>
      <selection activeCell="D17" sqref="D17:BC18"/>
      <selection pane="bottomLeft" activeCell="C41" sqref="C41"/>
    </sheetView>
  </sheetViews>
  <sheetFormatPr defaultColWidth="9.109375" defaultRowHeight="13.8"/>
  <cols>
    <col min="1" max="1" width="2.6640625" style="631" customWidth="1"/>
    <col min="2" max="2" width="0.6640625" style="631" customWidth="1"/>
    <col min="3" max="56" width="1.88671875" style="631" customWidth="1"/>
    <col min="57" max="57" width="0.6640625" style="631" customWidth="1"/>
    <col min="58" max="58" width="1.88671875" style="631" customWidth="1"/>
    <col min="59" max="62" width="7.6640625" style="1022" hidden="1" customWidth="1"/>
    <col min="63" max="64" width="7.6640625" style="856" customWidth="1"/>
    <col min="65" max="66" width="5.6640625" style="631" customWidth="1"/>
    <col min="67" max="16384" width="9.109375" style="631"/>
  </cols>
  <sheetData>
    <row r="2" spans="2:57" ht="18">
      <c r="AO2" s="925" t="str">
        <f>IF(SUM(COUNTBLANK(BK40:BK75),COUNTBLANK(BK80:BK89))&lt;46,"CHYBA!","O.K.")</f>
        <v>CHYBA!</v>
      </c>
    </row>
    <row r="4" spans="2:57" ht="3.9" customHeight="1" thickBot="1"/>
    <row r="5" spans="2:57" ht="3" customHeight="1">
      <c r="B5" s="740"/>
      <c r="C5" s="742"/>
      <c r="D5" s="742"/>
      <c r="E5" s="742"/>
      <c r="F5" s="742"/>
      <c r="G5" s="742"/>
      <c r="H5" s="742"/>
      <c r="I5" s="742"/>
      <c r="J5" s="742"/>
      <c r="K5" s="742"/>
      <c r="L5" s="742"/>
      <c r="M5" s="742"/>
      <c r="N5" s="742"/>
      <c r="O5" s="742"/>
      <c r="P5" s="742"/>
      <c r="Q5" s="742"/>
      <c r="R5" s="742"/>
      <c r="S5" s="742"/>
      <c r="T5" s="742"/>
      <c r="U5" s="742"/>
      <c r="V5" s="742"/>
      <c r="W5" s="742"/>
      <c r="X5" s="742"/>
      <c r="Y5" s="742"/>
      <c r="Z5" s="742"/>
      <c r="AA5" s="742"/>
      <c r="AB5" s="742"/>
      <c r="AC5" s="742"/>
      <c r="AD5" s="742"/>
      <c r="AE5" s="742"/>
      <c r="AF5" s="742"/>
      <c r="AG5" s="742"/>
      <c r="AH5" s="742"/>
      <c r="AI5" s="742"/>
      <c r="AJ5" s="742"/>
      <c r="AK5" s="742"/>
      <c r="AL5" s="742"/>
      <c r="AM5" s="742"/>
      <c r="AN5" s="742"/>
      <c r="AO5" s="742"/>
      <c r="AP5" s="742"/>
      <c r="AQ5" s="742"/>
      <c r="AR5" s="742"/>
      <c r="AS5" s="742"/>
      <c r="AT5" s="742"/>
      <c r="AU5" s="742"/>
      <c r="AV5" s="742"/>
      <c r="AW5" s="742"/>
      <c r="AX5" s="742"/>
      <c r="AY5" s="742"/>
      <c r="AZ5" s="742"/>
      <c r="BA5" s="742"/>
      <c r="BB5" s="742"/>
      <c r="BC5" s="742"/>
      <c r="BD5" s="742"/>
      <c r="BE5" s="702"/>
    </row>
    <row r="6" spans="2:57" ht="12.75" customHeight="1">
      <c r="B6" s="751" t="s">
        <v>752</v>
      </c>
      <c r="C6" s="762"/>
      <c r="D6" s="753"/>
      <c r="E6" s="753"/>
      <c r="F6" s="753"/>
      <c r="G6" s="753"/>
      <c r="H6" s="753"/>
      <c r="I6" s="753"/>
      <c r="J6" s="753"/>
      <c r="K6" s="753"/>
      <c r="L6" s="753"/>
      <c r="M6" s="753"/>
      <c r="N6" s="753"/>
      <c r="O6" s="753"/>
      <c r="P6" s="753"/>
      <c r="Q6" s="753"/>
      <c r="R6" s="753"/>
      <c r="S6" s="753"/>
      <c r="T6" s="753"/>
      <c r="U6" s="753"/>
      <c r="V6" s="753"/>
      <c r="W6" s="753"/>
      <c r="X6" s="753"/>
      <c r="Y6" s="753"/>
      <c r="Z6" s="753"/>
      <c r="AA6" s="753"/>
      <c r="AB6" s="753"/>
      <c r="AC6" s="814" t="str">
        <f>IF(pocetdeti=0,"",IF(AND(test="O.K.",test_1="O.K."),IF(Bronze_D=TRUE,"X",""),"?"))</f>
        <v/>
      </c>
      <c r="AD6" s="787" t="s">
        <v>753</v>
      </c>
      <c r="AE6" s="763"/>
      <c r="AF6" s="753"/>
      <c r="AG6" s="753"/>
      <c r="AH6" s="753"/>
      <c r="AI6" s="753"/>
      <c r="AJ6" s="753"/>
      <c r="AK6" s="753"/>
      <c r="AL6" s="814" t="str">
        <f>IF(pocetdeti=0,"",IF(AND(test="O.K.",test_1="O.K."),IF(Silver_D=TRUE,"X",""),"?"))</f>
        <v/>
      </c>
      <c r="AM6" s="787" t="s">
        <v>754</v>
      </c>
      <c r="AN6" s="763"/>
      <c r="AO6" s="753"/>
      <c r="AP6" s="753"/>
      <c r="AQ6" s="753"/>
      <c r="AR6" s="753"/>
      <c r="AS6" s="753"/>
      <c r="AT6" s="753"/>
      <c r="AU6" s="753"/>
      <c r="AV6" s="788"/>
      <c r="AW6" s="808" t="str">
        <f>IF(pocetdeti=0,"",IF(AND(test="O.K.",test_1="O.K."),IF(Gold_D=TRUE,"X",""),"?"))</f>
        <v/>
      </c>
      <c r="AX6" s="763" t="s">
        <v>755</v>
      </c>
      <c r="AY6" s="753"/>
      <c r="AZ6" s="753"/>
      <c r="BA6" s="753"/>
      <c r="BB6" s="753"/>
      <c r="BC6" s="753"/>
      <c r="BD6" s="753"/>
      <c r="BE6" s="703"/>
    </row>
    <row r="7" spans="2:57" ht="14.25" customHeight="1">
      <c r="B7" s="751" t="s">
        <v>756</v>
      </c>
      <c r="C7" s="775"/>
      <c r="D7" s="753"/>
      <c r="E7" s="753"/>
      <c r="F7" s="753"/>
      <c r="G7" s="753"/>
      <c r="H7" s="753"/>
      <c r="I7" s="753"/>
      <c r="J7" s="753"/>
      <c r="K7" s="753"/>
      <c r="L7" s="753"/>
      <c r="M7" s="753"/>
      <c r="N7" s="753"/>
      <c r="O7" s="753"/>
      <c r="P7" s="753"/>
      <c r="Q7" s="753"/>
      <c r="R7" s="753"/>
      <c r="S7" s="753"/>
      <c r="T7" s="753"/>
      <c r="U7" s="753"/>
      <c r="V7" s="753"/>
      <c r="W7" s="753"/>
      <c r="X7" s="753"/>
      <c r="Y7" s="753"/>
      <c r="Z7" s="753"/>
      <c r="AA7" s="753"/>
      <c r="AB7" s="784" t="s">
        <v>757</v>
      </c>
      <c r="AC7" s="950"/>
      <c r="AD7" s="753"/>
      <c r="AE7" s="753"/>
      <c r="AF7" s="789"/>
      <c r="AG7" s="753"/>
      <c r="AH7" s="753"/>
      <c r="AI7" s="753"/>
      <c r="AJ7" s="753"/>
      <c r="AK7" s="753"/>
      <c r="AL7" s="950" t="s">
        <v>757</v>
      </c>
      <c r="AM7" s="753"/>
      <c r="AN7" s="753"/>
      <c r="AO7" s="753"/>
      <c r="AP7" s="753"/>
      <c r="AQ7" s="753"/>
      <c r="AR7" s="753"/>
      <c r="AS7" s="753"/>
      <c r="AT7" s="753"/>
      <c r="AU7" s="950"/>
      <c r="AV7" s="784" t="s">
        <v>757</v>
      </c>
      <c r="AW7" s="753"/>
      <c r="AX7" s="753"/>
      <c r="AY7" s="753"/>
      <c r="AZ7" s="753"/>
      <c r="BA7" s="753"/>
      <c r="BB7" s="753"/>
      <c r="BC7" s="753"/>
      <c r="BD7" s="753"/>
      <c r="BE7" s="703"/>
    </row>
    <row r="8" spans="2:57" ht="12.75" customHeight="1">
      <c r="B8" s="751"/>
      <c r="C8" s="775" t="s">
        <v>669</v>
      </c>
      <c r="D8" s="753"/>
      <c r="E8" s="753"/>
      <c r="F8" s="753"/>
      <c r="G8" s="753"/>
      <c r="H8" s="753"/>
      <c r="I8" s="753"/>
      <c r="J8" s="753"/>
      <c r="K8" s="753"/>
      <c r="L8" s="753"/>
      <c r="M8" s="753"/>
      <c r="N8" s="753"/>
      <c r="O8" s="753"/>
      <c r="P8" s="753"/>
      <c r="Q8" s="753"/>
      <c r="R8" s="753"/>
      <c r="S8" s="753"/>
      <c r="T8" s="753"/>
      <c r="U8" s="753"/>
      <c r="V8" s="753"/>
      <c r="W8" s="753"/>
      <c r="X8" s="753"/>
      <c r="Y8" s="753"/>
      <c r="Z8" s="753"/>
      <c r="AA8" s="753"/>
      <c r="AB8" s="1418">
        <v>3000</v>
      </c>
      <c r="AC8" s="1419"/>
      <c r="AD8" s="1419"/>
      <c r="AE8" s="1419"/>
      <c r="AF8" s="1419"/>
      <c r="AG8" s="1420"/>
      <c r="AH8" s="784" t="s">
        <v>80</v>
      </c>
      <c r="AI8" s="763"/>
      <c r="AJ8" s="753"/>
      <c r="AK8" s="753"/>
      <c r="AL8" s="1418">
        <v>5500</v>
      </c>
      <c r="AM8" s="1419"/>
      <c r="AN8" s="1419"/>
      <c r="AO8" s="1419"/>
      <c r="AP8" s="1419"/>
      <c r="AQ8" s="1420"/>
      <c r="AR8" s="763" t="s">
        <v>80</v>
      </c>
      <c r="AS8" s="753"/>
      <c r="AT8" s="753"/>
      <c r="AU8" s="775"/>
      <c r="AV8" s="1418">
        <v>8000</v>
      </c>
      <c r="AW8" s="1419"/>
      <c r="AX8" s="1419"/>
      <c r="AY8" s="1419"/>
      <c r="AZ8" s="1419"/>
      <c r="BA8" s="1420"/>
      <c r="BB8" s="784" t="s">
        <v>80</v>
      </c>
      <c r="BC8" s="753"/>
      <c r="BD8" s="753"/>
      <c r="BE8" s="703"/>
    </row>
    <row r="9" spans="2:57" ht="3" customHeight="1">
      <c r="B9" s="751"/>
      <c r="C9" s="775"/>
      <c r="D9" s="753"/>
      <c r="E9" s="753"/>
      <c r="F9" s="753"/>
      <c r="G9" s="753"/>
      <c r="H9" s="753"/>
      <c r="I9" s="753"/>
      <c r="J9" s="753"/>
      <c r="K9" s="753"/>
      <c r="L9" s="753"/>
      <c r="M9" s="753"/>
      <c r="N9" s="753"/>
      <c r="O9" s="753"/>
      <c r="P9" s="753"/>
      <c r="Q9" s="753"/>
      <c r="R9" s="753"/>
      <c r="S9" s="753"/>
      <c r="T9" s="753"/>
      <c r="U9" s="753"/>
      <c r="V9" s="753"/>
      <c r="W9" s="753"/>
      <c r="X9" s="753"/>
      <c r="Y9" s="753"/>
      <c r="Z9" s="753"/>
      <c r="AA9" s="753"/>
      <c r="AB9" s="753"/>
      <c r="AC9" s="753"/>
      <c r="AD9" s="753"/>
      <c r="AE9" s="753"/>
      <c r="AF9" s="753"/>
      <c r="AG9" s="753"/>
      <c r="AH9" s="753"/>
      <c r="AI9" s="753"/>
      <c r="AJ9" s="753"/>
      <c r="AK9" s="753"/>
      <c r="AL9" s="753"/>
      <c r="AM9" s="753"/>
      <c r="AN9" s="753"/>
      <c r="AO9" s="753"/>
      <c r="AP9" s="753"/>
      <c r="AQ9" s="753"/>
      <c r="AR9" s="753"/>
      <c r="AS9" s="753"/>
      <c r="AT9" s="753"/>
      <c r="AU9" s="753"/>
      <c r="AV9" s="753"/>
      <c r="AW9" s="753"/>
      <c r="AX9" s="753"/>
      <c r="AY9" s="753"/>
      <c r="AZ9" s="753"/>
      <c r="BA9" s="753"/>
      <c r="BB9" s="753"/>
      <c r="BC9" s="753"/>
      <c r="BD9" s="753"/>
      <c r="BE9" s="703"/>
    </row>
    <row r="10" spans="2:57" ht="12.75" customHeight="1">
      <c r="B10" s="751"/>
      <c r="C10" s="775" t="s">
        <v>758</v>
      </c>
      <c r="D10" s="753"/>
      <c r="E10" s="753"/>
      <c r="F10" s="753"/>
      <c r="G10" s="753"/>
      <c r="H10" s="753"/>
      <c r="I10" s="753"/>
      <c r="J10" s="753"/>
      <c r="K10" s="753"/>
      <c r="L10" s="753"/>
      <c r="M10" s="753"/>
      <c r="N10" s="753"/>
      <c r="O10" s="753"/>
      <c r="P10" s="753"/>
      <c r="Q10" s="753"/>
      <c r="R10" s="753"/>
      <c r="S10" s="753"/>
      <c r="T10" s="753"/>
      <c r="U10" s="753"/>
      <c r="V10" s="753"/>
      <c r="W10" s="753"/>
      <c r="X10" s="753"/>
      <c r="Y10" s="753"/>
      <c r="Z10" s="753"/>
      <c r="AA10" s="753"/>
      <c r="AB10" s="1418">
        <v>500</v>
      </c>
      <c r="AC10" s="1419"/>
      <c r="AD10" s="1419"/>
      <c r="AE10" s="1419"/>
      <c r="AF10" s="1419"/>
      <c r="AG10" s="1420"/>
      <c r="AH10" s="784" t="s">
        <v>80</v>
      </c>
      <c r="AI10" s="763"/>
      <c r="AJ10" s="753"/>
      <c r="AK10" s="753"/>
      <c r="AL10" s="1418">
        <v>500</v>
      </c>
      <c r="AM10" s="1419"/>
      <c r="AN10" s="1419"/>
      <c r="AO10" s="1419"/>
      <c r="AP10" s="1419"/>
      <c r="AQ10" s="1420"/>
      <c r="AR10" s="763" t="s">
        <v>80</v>
      </c>
      <c r="AS10" s="753"/>
      <c r="AT10" s="753"/>
      <c r="AU10" s="775"/>
      <c r="AV10" s="1418">
        <v>500</v>
      </c>
      <c r="AW10" s="1419"/>
      <c r="AX10" s="1419"/>
      <c r="AY10" s="1419"/>
      <c r="AZ10" s="1419"/>
      <c r="BA10" s="1420"/>
      <c r="BB10" s="784" t="s">
        <v>80</v>
      </c>
      <c r="BC10" s="753"/>
      <c r="BD10" s="753"/>
      <c r="BE10" s="703"/>
    </row>
    <row r="11" spans="2:57" ht="3" customHeight="1">
      <c r="B11" s="751"/>
      <c r="C11" s="775"/>
      <c r="D11" s="753"/>
      <c r="E11" s="753"/>
      <c r="F11" s="753"/>
      <c r="G11" s="753"/>
      <c r="H11" s="753"/>
      <c r="I11" s="753"/>
      <c r="J11" s="753"/>
      <c r="K11" s="753"/>
      <c r="L11" s="753"/>
      <c r="M11" s="753"/>
      <c r="N11" s="753"/>
      <c r="O11" s="753"/>
      <c r="P11" s="753"/>
      <c r="Q11" s="753"/>
      <c r="R11" s="753"/>
      <c r="S11" s="753"/>
      <c r="T11" s="753"/>
      <c r="U11" s="753"/>
      <c r="V11" s="753"/>
      <c r="W11" s="753"/>
      <c r="X11" s="753"/>
      <c r="Y11" s="753"/>
      <c r="Z11" s="753"/>
      <c r="AA11" s="753"/>
      <c r="AB11" s="753"/>
      <c r="AC11" s="753"/>
      <c r="AD11" s="753"/>
      <c r="AE11" s="753"/>
      <c r="AF11" s="753"/>
      <c r="AG11" s="753"/>
      <c r="AH11" s="784"/>
      <c r="AI11" s="753"/>
      <c r="AJ11" s="753"/>
      <c r="AK11" s="753"/>
      <c r="AL11" s="753"/>
      <c r="AM11" s="753"/>
      <c r="AN11" s="753"/>
      <c r="AO11" s="753"/>
      <c r="AP11" s="753"/>
      <c r="AQ11" s="753"/>
      <c r="AR11" s="753"/>
      <c r="AS11" s="753"/>
      <c r="AT11" s="753"/>
      <c r="AU11" s="753"/>
      <c r="AV11" s="753"/>
      <c r="AW11" s="753"/>
      <c r="AX11" s="753"/>
      <c r="AY11" s="753"/>
      <c r="AZ11" s="753"/>
      <c r="BA11" s="753"/>
      <c r="BB11" s="784"/>
      <c r="BC11" s="753"/>
      <c r="BD11" s="753"/>
      <c r="BE11" s="703"/>
    </row>
    <row r="12" spans="2:57" ht="12.75" customHeight="1">
      <c r="B12" s="751"/>
      <c r="C12" s="775" t="s">
        <v>667</v>
      </c>
      <c r="D12" s="753"/>
      <c r="E12" s="753"/>
      <c r="F12" s="753"/>
      <c r="G12" s="753"/>
      <c r="H12" s="753"/>
      <c r="I12" s="753"/>
      <c r="J12" s="753"/>
      <c r="K12" s="753"/>
      <c r="L12" s="753"/>
      <c r="M12" s="753"/>
      <c r="N12" s="753"/>
      <c r="O12" s="753"/>
      <c r="P12" s="753"/>
      <c r="Q12" s="753"/>
      <c r="R12" s="753"/>
      <c r="S12" s="753"/>
      <c r="T12" s="753"/>
      <c r="U12" s="753"/>
      <c r="V12" s="753"/>
      <c r="W12" s="753"/>
      <c r="X12" s="753"/>
      <c r="Y12" s="753"/>
      <c r="Z12" s="753"/>
      <c r="AA12" s="753"/>
      <c r="AB12" s="1418">
        <v>1000</v>
      </c>
      <c r="AC12" s="1419"/>
      <c r="AD12" s="1419"/>
      <c r="AE12" s="1419"/>
      <c r="AF12" s="1419"/>
      <c r="AG12" s="1420"/>
      <c r="AH12" s="784" t="s">
        <v>80</v>
      </c>
      <c r="AI12" s="763"/>
      <c r="AJ12" s="753"/>
      <c r="AK12" s="753"/>
      <c r="AL12" s="1418">
        <v>2000</v>
      </c>
      <c r="AM12" s="1419"/>
      <c r="AN12" s="1419"/>
      <c r="AO12" s="1419"/>
      <c r="AP12" s="1419"/>
      <c r="AQ12" s="1420"/>
      <c r="AR12" s="763" t="s">
        <v>80</v>
      </c>
      <c r="AS12" s="753"/>
      <c r="AT12" s="753"/>
      <c r="AU12" s="775"/>
      <c r="AV12" s="1418">
        <v>3000</v>
      </c>
      <c r="AW12" s="1419"/>
      <c r="AX12" s="1419"/>
      <c r="AY12" s="1419"/>
      <c r="AZ12" s="1419"/>
      <c r="BA12" s="1420"/>
      <c r="BB12" s="784" t="s">
        <v>80</v>
      </c>
      <c r="BC12" s="753"/>
      <c r="BD12" s="753"/>
      <c r="BE12" s="703"/>
    </row>
    <row r="13" spans="2:57" ht="3" customHeight="1" thickBot="1">
      <c r="B13" s="751"/>
      <c r="C13" s="775"/>
      <c r="D13" s="753"/>
      <c r="E13" s="753"/>
      <c r="F13" s="753"/>
      <c r="G13" s="753"/>
      <c r="H13" s="753"/>
      <c r="I13" s="753"/>
      <c r="J13" s="753"/>
      <c r="K13" s="753"/>
      <c r="L13" s="753"/>
      <c r="M13" s="753"/>
      <c r="N13" s="753"/>
      <c r="O13" s="753"/>
      <c r="P13" s="753"/>
      <c r="Q13" s="753"/>
      <c r="R13" s="753"/>
      <c r="S13" s="753"/>
      <c r="T13" s="753"/>
      <c r="U13" s="753"/>
      <c r="V13" s="753"/>
      <c r="W13" s="753"/>
      <c r="X13" s="753"/>
      <c r="Y13" s="753"/>
      <c r="Z13" s="753"/>
      <c r="AA13" s="786"/>
      <c r="AB13" s="786"/>
      <c r="AC13" s="786"/>
      <c r="AD13" s="786"/>
      <c r="AE13" s="786"/>
      <c r="AF13" s="786"/>
      <c r="AG13" s="786"/>
      <c r="AH13" s="790"/>
      <c r="AI13" s="753"/>
      <c r="AJ13" s="753"/>
      <c r="AK13" s="786"/>
      <c r="AL13" s="786"/>
      <c r="AM13" s="786"/>
      <c r="AN13" s="786"/>
      <c r="AO13" s="786"/>
      <c r="AP13" s="786"/>
      <c r="AQ13" s="786"/>
      <c r="AR13" s="786"/>
      <c r="AS13" s="753"/>
      <c r="AT13" s="753"/>
      <c r="AU13" s="786"/>
      <c r="AV13" s="786"/>
      <c r="AW13" s="786"/>
      <c r="AX13" s="786"/>
      <c r="AY13" s="786"/>
      <c r="AZ13" s="786"/>
      <c r="BA13" s="786"/>
      <c r="BB13" s="790"/>
      <c r="BC13" s="753"/>
      <c r="BD13" s="753"/>
      <c r="BE13" s="703"/>
    </row>
    <row r="14" spans="2:57" ht="3" customHeight="1" thickBot="1">
      <c r="B14" s="751"/>
      <c r="C14" s="775"/>
      <c r="D14" s="753"/>
      <c r="E14" s="753"/>
      <c r="F14" s="753"/>
      <c r="G14" s="753"/>
      <c r="H14" s="753"/>
      <c r="I14" s="753"/>
      <c r="J14" s="753"/>
      <c r="K14" s="753"/>
      <c r="L14" s="753"/>
      <c r="M14" s="753"/>
      <c r="N14" s="753"/>
      <c r="O14" s="753"/>
      <c r="P14" s="753"/>
      <c r="Q14" s="753"/>
      <c r="R14" s="753"/>
      <c r="S14" s="753"/>
      <c r="T14" s="753"/>
      <c r="U14" s="753"/>
      <c r="V14" s="753"/>
      <c r="W14" s="753"/>
      <c r="X14" s="753"/>
      <c r="Y14" s="753"/>
      <c r="Z14" s="753"/>
      <c r="AA14" s="742"/>
      <c r="AB14" s="742"/>
      <c r="AC14" s="742"/>
      <c r="AD14" s="742"/>
      <c r="AE14" s="742"/>
      <c r="AF14" s="742"/>
      <c r="AG14" s="742"/>
      <c r="AH14" s="742"/>
      <c r="AI14" s="753"/>
      <c r="AJ14" s="753"/>
      <c r="AK14" s="742"/>
      <c r="AL14" s="742"/>
      <c r="AM14" s="742"/>
      <c r="AN14" s="742"/>
      <c r="AO14" s="742"/>
      <c r="AP14" s="742"/>
      <c r="AQ14" s="742"/>
      <c r="AR14" s="742"/>
      <c r="AS14" s="753"/>
      <c r="AT14" s="753"/>
      <c r="AU14" s="742"/>
      <c r="AV14" s="742"/>
      <c r="AW14" s="742"/>
      <c r="AX14" s="742"/>
      <c r="AY14" s="742"/>
      <c r="AZ14" s="742"/>
      <c r="BA14" s="742"/>
      <c r="BB14" s="742"/>
      <c r="BC14" s="753"/>
      <c r="BD14" s="753"/>
      <c r="BE14" s="703"/>
    </row>
    <row r="15" spans="2:57" ht="13.5" customHeight="1" thickBot="1">
      <c r="B15" s="751"/>
      <c r="C15" s="775"/>
      <c r="D15" s="753"/>
      <c r="E15" s="753"/>
      <c r="F15" s="753"/>
      <c r="G15" s="753"/>
      <c r="H15" s="753"/>
      <c r="I15" s="753"/>
      <c r="J15" s="753"/>
      <c r="K15" s="753"/>
      <c r="L15" s="753"/>
      <c r="M15" s="753"/>
      <c r="N15" s="753"/>
      <c r="O15" s="753"/>
      <c r="P15" s="753"/>
      <c r="Q15" s="753"/>
      <c r="R15" s="753"/>
      <c r="S15" s="753"/>
      <c r="T15" s="753"/>
      <c r="U15" s="753"/>
      <c r="V15" s="753"/>
      <c r="W15" s="753"/>
      <c r="X15" s="753"/>
      <c r="Y15" s="753"/>
      <c r="Z15" s="753"/>
      <c r="AA15" s="753"/>
      <c r="AB15" s="1421" t="str">
        <f ca="1">IF(AND(AND(test="O.K.",test_1="O.K."),Bronze_D=TRUE),Poistné!D37,"")</f>
        <v/>
      </c>
      <c r="AC15" s="1422"/>
      <c r="AD15" s="1422"/>
      <c r="AE15" s="1422"/>
      <c r="AF15" s="1422"/>
      <c r="AG15" s="1423"/>
      <c r="AH15" s="763" t="s">
        <v>80</v>
      </c>
      <c r="AI15" s="763"/>
      <c r="AJ15" s="753"/>
      <c r="AK15" s="753"/>
      <c r="AL15" s="1421" t="str">
        <f ca="1">IF(AND(AND(test="O.K.",test_1="O.K."),Silver_D=TRUE),Poistné!D37,"")</f>
        <v/>
      </c>
      <c r="AM15" s="1422"/>
      <c r="AN15" s="1422"/>
      <c r="AO15" s="1422"/>
      <c r="AP15" s="1422"/>
      <c r="AQ15" s="1423"/>
      <c r="AR15" s="763" t="s">
        <v>80</v>
      </c>
      <c r="AS15" s="753"/>
      <c r="AT15" s="753"/>
      <c r="AU15" s="753"/>
      <c r="AV15" s="1421" t="str">
        <f ca="1">IF(AND(AND(test="O.K.",test_1="O.K."),Gold_D=TRUE),Poistné!D37,"")</f>
        <v/>
      </c>
      <c r="AW15" s="1422"/>
      <c r="AX15" s="1422"/>
      <c r="AY15" s="1422"/>
      <c r="AZ15" s="1422"/>
      <c r="BA15" s="1423"/>
      <c r="BB15" s="763" t="s">
        <v>80</v>
      </c>
      <c r="BC15" s="753"/>
      <c r="BD15" s="753"/>
      <c r="BE15" s="703"/>
    </row>
    <row r="16" spans="2:57" ht="33" customHeight="1" thickBot="1">
      <c r="B16" s="986"/>
      <c r="C16" s="1417" t="s">
        <v>863</v>
      </c>
      <c r="D16" s="1417"/>
      <c r="E16" s="1417"/>
      <c r="F16" s="1417"/>
      <c r="G16" s="1417"/>
      <c r="H16" s="1417"/>
      <c r="I16" s="1417"/>
      <c r="J16" s="1417"/>
      <c r="K16" s="1417"/>
      <c r="L16" s="1417"/>
      <c r="M16" s="1417"/>
      <c r="N16" s="1417"/>
      <c r="O16" s="1417"/>
      <c r="P16" s="1417"/>
      <c r="Q16" s="1417"/>
      <c r="R16" s="1417"/>
      <c r="S16" s="1417"/>
      <c r="T16" s="1417"/>
      <c r="U16" s="1417"/>
      <c r="V16" s="1417"/>
      <c r="W16" s="1417"/>
      <c r="X16" s="1417"/>
      <c r="Y16" s="1417"/>
      <c r="Z16" s="1417"/>
      <c r="AA16" s="1417"/>
      <c r="AB16" s="1417"/>
      <c r="AC16" s="1417"/>
      <c r="AD16" s="1417"/>
      <c r="AE16" s="1417"/>
      <c r="AF16" s="1417"/>
      <c r="AG16" s="1417"/>
      <c r="AH16" s="1417"/>
      <c r="AI16" s="1417"/>
      <c r="AJ16" s="1417"/>
      <c r="AK16" s="1417"/>
      <c r="AL16" s="1417"/>
      <c r="AM16" s="1417"/>
      <c r="AN16" s="1417"/>
      <c r="AO16" s="1417"/>
      <c r="AP16" s="1417"/>
      <c r="AQ16" s="1417"/>
      <c r="AR16" s="1417"/>
      <c r="AS16" s="1417"/>
      <c r="AT16" s="1417"/>
      <c r="AU16" s="1417"/>
      <c r="AV16" s="1417"/>
      <c r="AW16" s="1417"/>
      <c r="AX16" s="1417"/>
      <c r="AY16" s="1417"/>
      <c r="AZ16" s="1417"/>
      <c r="BA16" s="1417"/>
      <c r="BB16" s="1417"/>
      <c r="BC16" s="1417"/>
      <c r="BD16" s="1417"/>
      <c r="BE16" s="704"/>
    </row>
    <row r="17" spans="2:57" ht="13.5" customHeight="1" thickBot="1">
      <c r="B17" s="816"/>
      <c r="C17" s="738" t="s">
        <v>641</v>
      </c>
      <c r="D17" s="817"/>
      <c r="E17" s="817"/>
      <c r="F17" s="817"/>
      <c r="G17" s="817"/>
      <c r="H17" s="817"/>
      <c r="I17" s="817"/>
      <c r="J17" s="817"/>
      <c r="K17" s="817"/>
      <c r="L17" s="817"/>
      <c r="M17" s="817"/>
      <c r="N17" s="817"/>
      <c r="O17" s="817"/>
      <c r="P17" s="817"/>
      <c r="Q17" s="817"/>
      <c r="R17" s="817"/>
      <c r="S17" s="817"/>
      <c r="T17" s="817"/>
      <c r="U17" s="817"/>
      <c r="V17" s="817"/>
      <c r="W17" s="817"/>
      <c r="X17" s="817"/>
      <c r="Y17" s="817"/>
      <c r="Z17" s="817"/>
      <c r="AA17" s="817"/>
      <c r="AB17" s="817"/>
      <c r="AC17" s="817"/>
      <c r="AD17" s="817"/>
      <c r="AE17" s="817"/>
      <c r="AF17" s="817"/>
      <c r="AG17" s="817"/>
      <c r="AH17" s="817"/>
      <c r="AI17" s="817"/>
      <c r="AJ17" s="817"/>
      <c r="AK17" s="817"/>
      <c r="AL17" s="817"/>
      <c r="AM17" s="817"/>
      <c r="AN17" s="817"/>
      <c r="AO17" s="817"/>
      <c r="AP17" s="817"/>
      <c r="AQ17" s="817"/>
      <c r="AR17" s="817"/>
      <c r="AS17" s="817"/>
      <c r="AT17" s="817"/>
      <c r="AU17" s="817"/>
      <c r="AV17" s="817"/>
      <c r="AW17" s="817"/>
      <c r="AX17" s="817"/>
      <c r="AY17" s="817"/>
      <c r="AZ17" s="817"/>
      <c r="BA17" s="817"/>
      <c r="BB17" s="817"/>
      <c r="BC17" s="817"/>
      <c r="BD17" s="817"/>
      <c r="BE17" s="818"/>
    </row>
    <row r="18" spans="2:57" ht="3" customHeight="1">
      <c r="B18" s="819"/>
      <c r="C18" s="820"/>
      <c r="D18" s="820"/>
      <c r="E18" s="820"/>
      <c r="F18" s="820"/>
      <c r="G18" s="820"/>
      <c r="H18" s="820"/>
      <c r="I18" s="820"/>
      <c r="J18" s="820"/>
      <c r="K18" s="820"/>
      <c r="L18" s="820"/>
      <c r="M18" s="820"/>
      <c r="N18" s="820"/>
      <c r="O18" s="820"/>
      <c r="P18" s="820"/>
      <c r="Q18" s="820"/>
      <c r="R18" s="820"/>
      <c r="S18" s="820"/>
      <c r="T18" s="820"/>
      <c r="U18" s="820"/>
      <c r="V18" s="820"/>
      <c r="W18" s="820"/>
      <c r="X18" s="820"/>
      <c r="Y18" s="820"/>
      <c r="Z18" s="820"/>
      <c r="AA18" s="820"/>
      <c r="AB18" s="820"/>
      <c r="AC18" s="820"/>
      <c r="AD18" s="820"/>
      <c r="AE18" s="820"/>
      <c r="AF18" s="820"/>
      <c r="AG18" s="820"/>
      <c r="AH18" s="820"/>
      <c r="AI18" s="820"/>
      <c r="AJ18" s="820"/>
      <c r="AK18" s="820"/>
      <c r="AL18" s="820"/>
      <c r="AM18" s="820"/>
      <c r="AN18" s="820"/>
      <c r="AO18" s="820"/>
      <c r="AP18" s="820"/>
      <c r="AQ18" s="820"/>
      <c r="AR18" s="820"/>
      <c r="AS18" s="820"/>
      <c r="AT18" s="820"/>
      <c r="AU18" s="820"/>
      <c r="AV18" s="820"/>
      <c r="AW18" s="820"/>
      <c r="AX18" s="820"/>
      <c r="AY18" s="820"/>
      <c r="AZ18" s="820"/>
      <c r="BA18" s="820"/>
      <c r="BB18" s="820"/>
      <c r="BC18" s="820"/>
      <c r="BD18" s="820"/>
      <c r="BE18" s="821"/>
    </row>
    <row r="19" spans="2:57" ht="14.4">
      <c r="B19" s="822"/>
      <c r="C19" s="762" t="s">
        <v>778</v>
      </c>
      <c r="D19" s="823"/>
      <c r="E19" s="823"/>
      <c r="F19" s="823"/>
      <c r="G19" s="823"/>
      <c r="H19" s="823"/>
      <c r="I19" s="823"/>
      <c r="J19" s="823"/>
      <c r="K19" s="823"/>
      <c r="L19" s="823"/>
      <c r="M19" s="823"/>
      <c r="N19" s="823"/>
      <c r="O19" s="823"/>
      <c r="P19" s="823"/>
      <c r="Q19" s="823"/>
      <c r="R19" s="823"/>
      <c r="S19" s="823"/>
      <c r="T19" s="823"/>
      <c r="U19" s="823"/>
      <c r="V19" s="823"/>
      <c r="W19" s="823"/>
      <c r="X19" s="823"/>
      <c r="Y19" s="823"/>
      <c r="Z19" s="823"/>
      <c r="AA19" s="823"/>
      <c r="AB19" s="823"/>
      <c r="AC19" s="823"/>
      <c r="AD19" s="1406" t="str">
        <f ca="1">IF(AND(test="O.K.",test_1="O.K."),Poistné!D26,"?")</f>
        <v>?</v>
      </c>
      <c r="AE19" s="1407"/>
      <c r="AF19" s="1407"/>
      <c r="AG19" s="1407"/>
      <c r="AH19" s="1407"/>
      <c r="AI19" s="1408"/>
      <c r="AJ19" s="763" t="s">
        <v>80</v>
      </c>
      <c r="AK19" s="763"/>
      <c r="AL19" s="824"/>
      <c r="AM19" s="824"/>
      <c r="AN19" s="824"/>
      <c r="AO19" s="824"/>
      <c r="AP19" s="824"/>
      <c r="AQ19" s="824"/>
      <c r="AR19" s="824"/>
      <c r="AS19" s="824"/>
      <c r="AT19" s="824"/>
      <c r="AU19" s="823"/>
      <c r="AV19" s="823"/>
      <c r="AW19" s="823"/>
      <c r="AX19" s="823"/>
      <c r="AY19" s="823"/>
      <c r="AZ19" s="823"/>
      <c r="BA19" s="823"/>
      <c r="BB19" s="823"/>
      <c r="BC19" s="823"/>
      <c r="BD19" s="823"/>
      <c r="BE19" s="821"/>
    </row>
    <row r="20" spans="2:57" ht="3" customHeight="1">
      <c r="B20" s="822"/>
      <c r="C20" s="823"/>
      <c r="D20" s="823"/>
      <c r="E20" s="823"/>
      <c r="F20" s="823"/>
      <c r="G20" s="823"/>
      <c r="H20" s="823"/>
      <c r="I20" s="823"/>
      <c r="J20" s="823"/>
      <c r="K20" s="823"/>
      <c r="L20" s="823"/>
      <c r="M20" s="823"/>
      <c r="N20" s="823"/>
      <c r="O20" s="823"/>
      <c r="P20" s="823"/>
      <c r="Q20" s="823"/>
      <c r="R20" s="823"/>
      <c r="S20" s="823"/>
      <c r="T20" s="823"/>
      <c r="U20" s="823"/>
      <c r="V20" s="823"/>
      <c r="W20" s="823"/>
      <c r="X20" s="823"/>
      <c r="Y20" s="823"/>
      <c r="Z20" s="823"/>
      <c r="AA20" s="823"/>
      <c r="AB20" s="823"/>
      <c r="AC20" s="823"/>
      <c r="AD20" s="823"/>
      <c r="AE20" s="823"/>
      <c r="AF20" s="823"/>
      <c r="AG20" s="823"/>
      <c r="AH20" s="823"/>
      <c r="AI20" s="823"/>
      <c r="AJ20" s="823"/>
      <c r="AK20" s="823"/>
      <c r="AL20" s="824"/>
      <c r="AM20" s="824"/>
      <c r="AN20" s="824"/>
      <c r="AO20" s="824"/>
      <c r="AP20" s="824"/>
      <c r="AQ20" s="824"/>
      <c r="AR20" s="824"/>
      <c r="AS20" s="824"/>
      <c r="AT20" s="824"/>
      <c r="AU20" s="823"/>
      <c r="AV20" s="823"/>
      <c r="AW20" s="823"/>
      <c r="AX20" s="823"/>
      <c r="AY20" s="823"/>
      <c r="AZ20" s="823"/>
      <c r="BA20" s="823"/>
      <c r="BB20" s="823"/>
      <c r="BC20" s="823"/>
      <c r="BD20" s="823"/>
      <c r="BE20" s="821"/>
    </row>
    <row r="21" spans="2:57" ht="14.4">
      <c r="B21" s="822"/>
      <c r="C21" s="753" t="s">
        <v>779</v>
      </c>
      <c r="D21" s="823"/>
      <c r="E21" s="823"/>
      <c r="F21" s="823"/>
      <c r="G21" s="823"/>
      <c r="H21" s="823"/>
      <c r="I21" s="823"/>
      <c r="J21" s="823"/>
      <c r="K21" s="823"/>
      <c r="L21" s="823"/>
      <c r="M21" s="823"/>
      <c r="N21" s="823"/>
      <c r="O21" s="1447" t="str">
        <f ca="1">IF(AND(test="O.K.",test_1="O.K."),IF(pocetdeti&gt;0,pocetdeti,""),"?")</f>
        <v>?</v>
      </c>
      <c r="P21" s="1448"/>
      <c r="Q21" s="753" t="s">
        <v>642</v>
      </c>
      <c r="R21" s="823"/>
      <c r="S21" s="823"/>
      <c r="T21" s="823"/>
      <c r="U21" s="823"/>
      <c r="V21" s="823"/>
      <c r="W21" s="823"/>
      <c r="X21" s="823"/>
      <c r="Y21" s="823"/>
      <c r="Z21" s="823"/>
      <c r="AA21" s="823"/>
      <c r="AB21" s="823"/>
      <c r="AC21" s="823"/>
      <c r="AD21" s="1406" t="str">
        <f ca="1">IF(AND(test="O.K.",test_1="O.K."),IF(O21&gt;0,Poistné!D37,""),"?")</f>
        <v>?</v>
      </c>
      <c r="AE21" s="1407"/>
      <c r="AF21" s="1407"/>
      <c r="AG21" s="1407"/>
      <c r="AH21" s="1407"/>
      <c r="AI21" s="1408"/>
      <c r="AJ21" s="763" t="s">
        <v>80</v>
      </c>
      <c r="AK21" s="763"/>
      <c r="AL21" s="824"/>
      <c r="AM21" s="824"/>
      <c r="AN21" s="824"/>
      <c r="AO21" s="824"/>
      <c r="AP21" s="824"/>
      <c r="AQ21" s="824"/>
      <c r="AR21" s="824"/>
      <c r="AS21" s="824"/>
      <c r="AT21" s="824"/>
      <c r="AU21" s="823"/>
      <c r="AV21" s="823"/>
      <c r="AW21" s="823"/>
      <c r="AX21" s="823"/>
      <c r="AY21" s="823"/>
      <c r="AZ21" s="823"/>
      <c r="BA21" s="823"/>
      <c r="BB21" s="823"/>
      <c r="BC21" s="823"/>
      <c r="BD21" s="823"/>
      <c r="BE21" s="821"/>
    </row>
    <row r="22" spans="2:57" ht="3" customHeight="1" thickBot="1">
      <c r="B22" s="822"/>
      <c r="C22" s="823"/>
      <c r="D22" s="823"/>
      <c r="E22" s="823"/>
      <c r="F22" s="823"/>
      <c r="G22" s="823"/>
      <c r="H22" s="823"/>
      <c r="I22" s="823"/>
      <c r="J22" s="823"/>
      <c r="K22" s="823"/>
      <c r="L22" s="823"/>
      <c r="M22" s="823"/>
      <c r="N22" s="823"/>
      <c r="O22" s="823"/>
      <c r="P22" s="823"/>
      <c r="Q22" s="823"/>
      <c r="R22" s="823"/>
      <c r="S22" s="823"/>
      <c r="T22" s="823"/>
      <c r="U22" s="823"/>
      <c r="V22" s="823"/>
      <c r="W22" s="823"/>
      <c r="X22" s="823"/>
      <c r="Y22" s="823"/>
      <c r="Z22" s="823"/>
      <c r="AA22" s="823"/>
      <c r="AB22" s="823"/>
      <c r="AC22" s="825"/>
      <c r="AD22" s="823"/>
      <c r="AE22" s="823"/>
      <c r="AF22" s="823"/>
      <c r="AG22" s="823"/>
      <c r="AH22" s="823"/>
      <c r="AI22" s="823"/>
      <c r="AJ22" s="823"/>
      <c r="AK22" s="823"/>
      <c r="AL22" s="824"/>
      <c r="AM22" s="824"/>
      <c r="AN22" s="824"/>
      <c r="AO22" s="824"/>
      <c r="AP22" s="824"/>
      <c r="AQ22" s="824"/>
      <c r="AR22" s="824"/>
      <c r="AS22" s="824"/>
      <c r="AT22" s="824"/>
      <c r="AU22" s="823"/>
      <c r="AV22" s="823"/>
      <c r="AW22" s="823"/>
      <c r="AX22" s="823"/>
      <c r="AY22" s="823"/>
      <c r="AZ22" s="823"/>
      <c r="BA22" s="823"/>
      <c r="BB22" s="823"/>
      <c r="BC22" s="823"/>
      <c r="BD22" s="823"/>
      <c r="BE22" s="821"/>
    </row>
    <row r="23" spans="2:57" ht="3" customHeight="1" thickBot="1">
      <c r="B23" s="822"/>
      <c r="C23" s="823"/>
      <c r="D23" s="823"/>
      <c r="E23" s="823"/>
      <c r="F23" s="823"/>
      <c r="G23" s="823"/>
      <c r="H23" s="823"/>
      <c r="I23" s="823"/>
      <c r="J23" s="823"/>
      <c r="K23" s="823"/>
      <c r="L23" s="823"/>
      <c r="M23" s="823"/>
      <c r="N23" s="823"/>
      <c r="O23" s="823"/>
      <c r="P23" s="823"/>
      <c r="Q23" s="823"/>
      <c r="R23" s="823"/>
      <c r="S23" s="823"/>
      <c r="T23" s="823"/>
      <c r="U23" s="823"/>
      <c r="V23" s="823"/>
      <c r="W23" s="823"/>
      <c r="X23" s="823"/>
      <c r="Y23" s="823"/>
      <c r="Z23" s="823"/>
      <c r="AA23" s="823"/>
      <c r="AB23" s="823"/>
      <c r="AC23" s="823"/>
      <c r="AD23" s="820"/>
      <c r="AE23" s="820"/>
      <c r="AF23" s="820"/>
      <c r="AG23" s="820"/>
      <c r="AH23" s="820"/>
      <c r="AI23" s="820"/>
      <c r="AJ23" s="820"/>
      <c r="AK23" s="820"/>
      <c r="AL23" s="824"/>
      <c r="AM23" s="824"/>
      <c r="AN23" s="824"/>
      <c r="AO23" s="824"/>
      <c r="AP23" s="824"/>
      <c r="AQ23" s="824"/>
      <c r="AR23" s="824"/>
      <c r="AS23" s="824"/>
      <c r="AT23" s="824"/>
      <c r="AU23" s="823"/>
      <c r="AV23" s="823"/>
      <c r="AW23" s="823"/>
      <c r="AX23" s="823"/>
      <c r="AY23" s="823"/>
      <c r="AZ23" s="823"/>
      <c r="BA23" s="823"/>
      <c r="BB23" s="823"/>
      <c r="BC23" s="823"/>
      <c r="BD23" s="823"/>
      <c r="BE23" s="821"/>
    </row>
    <row r="24" spans="2:57" ht="15" thickBot="1">
      <c r="B24" s="822"/>
      <c r="C24" s="763" t="s">
        <v>780</v>
      </c>
      <c r="D24" s="823"/>
      <c r="E24" s="823"/>
      <c r="F24" s="823"/>
      <c r="G24" s="823"/>
      <c r="H24" s="823"/>
      <c r="I24" s="823"/>
      <c r="J24" s="823"/>
      <c r="K24" s="823"/>
      <c r="L24" s="823"/>
      <c r="M24" s="823"/>
      <c r="N24" s="823"/>
      <c r="O24" s="823"/>
      <c r="P24" s="823"/>
      <c r="Q24" s="823"/>
      <c r="R24" s="823"/>
      <c r="S24" s="753"/>
      <c r="T24" s="823"/>
      <c r="U24" s="823"/>
      <c r="V24" s="764"/>
      <c r="W24" s="764"/>
      <c r="X24" s="823"/>
      <c r="Y24" s="823"/>
      <c r="Z24" s="823"/>
      <c r="AA24" s="823"/>
      <c r="AB24" s="823"/>
      <c r="AC24" s="823"/>
      <c r="AD24" s="1414" t="str">
        <f ca="1">IF(AND(test="O.K.",test_1="O.K."),Poistné!D39,"?")</f>
        <v>?</v>
      </c>
      <c r="AE24" s="1415"/>
      <c r="AF24" s="1415"/>
      <c r="AG24" s="1415"/>
      <c r="AH24" s="1415"/>
      <c r="AI24" s="1416"/>
      <c r="AJ24" s="763" t="s">
        <v>80</v>
      </c>
      <c r="AK24" s="763"/>
      <c r="AL24" s="824"/>
      <c r="AM24" s="824"/>
      <c r="AN24" s="824"/>
      <c r="AO24" s="824"/>
      <c r="AP24" s="824"/>
      <c r="AQ24" s="824"/>
      <c r="AR24" s="824"/>
      <c r="AS24" s="824"/>
      <c r="AT24" s="824"/>
      <c r="AU24" s="823"/>
      <c r="AV24" s="823"/>
      <c r="AW24" s="823"/>
      <c r="AX24" s="823"/>
      <c r="AY24" s="823"/>
      <c r="AZ24" s="823"/>
      <c r="BA24" s="823"/>
      <c r="BB24" s="823"/>
      <c r="BC24" s="823"/>
      <c r="BD24" s="823"/>
      <c r="BE24" s="821"/>
    </row>
    <row r="25" spans="2:57" ht="46.5" customHeight="1">
      <c r="B25" s="844"/>
      <c r="C25" s="1452" t="s">
        <v>781</v>
      </c>
      <c r="D25" s="1452"/>
      <c r="E25" s="1452"/>
      <c r="F25" s="1452"/>
      <c r="G25" s="1452"/>
      <c r="H25" s="1452"/>
      <c r="I25" s="1452"/>
      <c r="J25" s="1452"/>
      <c r="K25" s="1452"/>
      <c r="L25" s="1452"/>
      <c r="M25" s="1452"/>
      <c r="N25" s="1452"/>
      <c r="O25" s="1452"/>
      <c r="P25" s="1452"/>
      <c r="Q25" s="1452"/>
      <c r="R25" s="1452"/>
      <c r="S25" s="1452"/>
      <c r="T25" s="1452"/>
      <c r="U25" s="1452"/>
      <c r="V25" s="1452"/>
      <c r="W25" s="1452"/>
      <c r="X25" s="1452"/>
      <c r="Y25" s="1452"/>
      <c r="Z25" s="1452"/>
      <c r="AA25" s="1452"/>
      <c r="AB25" s="1452"/>
      <c r="AC25" s="1452"/>
      <c r="AD25" s="1452"/>
      <c r="AE25" s="1452"/>
      <c r="AF25" s="1452"/>
      <c r="AG25" s="1452"/>
      <c r="AH25" s="1452"/>
      <c r="AI25" s="1452"/>
      <c r="AJ25" s="1452"/>
      <c r="AK25" s="1452"/>
      <c r="AL25" s="1452"/>
      <c r="AM25" s="1452"/>
      <c r="AN25" s="1452"/>
      <c r="AO25" s="1452"/>
      <c r="AP25" s="1452"/>
      <c r="AQ25" s="1452"/>
      <c r="AR25" s="1452"/>
      <c r="AS25" s="1452"/>
      <c r="AT25" s="1452"/>
      <c r="AU25" s="1452"/>
      <c r="AV25" s="1452"/>
      <c r="AW25" s="1452"/>
      <c r="AX25" s="1452"/>
      <c r="AY25" s="1452"/>
      <c r="AZ25" s="1452"/>
      <c r="BA25" s="1452"/>
      <c r="BB25" s="1452"/>
      <c r="BC25" s="1452"/>
      <c r="BD25" s="1452"/>
      <c r="BE25" s="826"/>
    </row>
    <row r="26" spans="2:57" ht="3" customHeight="1">
      <c r="B26" s="827"/>
      <c r="C26" s="828"/>
      <c r="D26" s="828"/>
      <c r="E26" s="828"/>
      <c r="F26" s="828"/>
      <c r="G26" s="828"/>
      <c r="H26" s="828"/>
      <c r="I26" s="828"/>
      <c r="J26" s="828"/>
      <c r="K26" s="828"/>
      <c r="L26" s="828"/>
      <c r="M26" s="828"/>
      <c r="N26" s="828"/>
      <c r="O26" s="828"/>
      <c r="P26" s="828"/>
      <c r="Q26" s="828"/>
      <c r="R26" s="828"/>
      <c r="S26" s="828"/>
      <c r="T26" s="828"/>
      <c r="U26" s="828"/>
      <c r="V26" s="828"/>
      <c r="W26" s="828"/>
      <c r="X26" s="828"/>
      <c r="Y26" s="828"/>
      <c r="Z26" s="828"/>
      <c r="AA26" s="828"/>
      <c r="AB26" s="828"/>
      <c r="AC26" s="828"/>
      <c r="AD26" s="828"/>
      <c r="AE26" s="828"/>
      <c r="AF26" s="828"/>
      <c r="AG26" s="828"/>
      <c r="AH26" s="828"/>
      <c r="AI26" s="828"/>
      <c r="AJ26" s="828"/>
      <c r="AK26" s="828"/>
      <c r="AL26" s="828"/>
      <c r="AM26" s="828"/>
      <c r="AN26" s="828"/>
      <c r="AO26" s="828"/>
      <c r="AP26" s="828"/>
      <c r="AQ26" s="828"/>
      <c r="AR26" s="828"/>
      <c r="AS26" s="828"/>
      <c r="AT26" s="828"/>
      <c r="AU26" s="828"/>
      <c r="AV26" s="828"/>
      <c r="AW26" s="828"/>
      <c r="AX26" s="828"/>
      <c r="AY26" s="828"/>
      <c r="AZ26" s="828"/>
      <c r="BA26" s="828"/>
      <c r="BB26" s="828"/>
      <c r="BC26" s="828"/>
      <c r="BD26" s="828"/>
      <c r="BE26" s="821"/>
    </row>
    <row r="27" spans="2:57" ht="14.4">
      <c r="B27" s="773"/>
      <c r="C27" s="762" t="s">
        <v>782</v>
      </c>
      <c r="D27" s="775"/>
      <c r="E27" s="775"/>
      <c r="F27" s="775"/>
      <c r="G27" s="775"/>
      <c r="H27" s="775"/>
      <c r="I27" s="775"/>
      <c r="J27" s="775"/>
      <c r="K27" s="775"/>
      <c r="L27" s="775"/>
      <c r="M27" s="775"/>
      <c r="N27" s="775"/>
      <c r="O27" s="775"/>
      <c r="P27" s="775"/>
      <c r="Q27" s="775"/>
      <c r="R27" s="775"/>
      <c r="S27" s="775"/>
      <c r="T27" s="775"/>
      <c r="U27" s="775"/>
      <c r="V27" s="775"/>
      <c r="W27" s="775"/>
      <c r="X27" s="775"/>
      <c r="Y27" s="775"/>
      <c r="Z27" s="775"/>
      <c r="AA27" s="775"/>
      <c r="AB27" s="775"/>
      <c r="AC27" s="775"/>
      <c r="AD27" s="775"/>
      <c r="AE27" s="775"/>
      <c r="AF27" s="775"/>
      <c r="AG27" s="775"/>
      <c r="AH27" s="775"/>
      <c r="AI27" s="775"/>
      <c r="AJ27" s="775"/>
      <c r="AK27" s="775"/>
      <c r="AL27" s="775"/>
      <c r="AM27" s="775"/>
      <c r="AN27" s="775"/>
      <c r="AO27" s="775"/>
      <c r="AP27" s="775"/>
      <c r="AQ27" s="775"/>
      <c r="AR27" s="775"/>
      <c r="AS27" s="775"/>
      <c r="AT27" s="775"/>
      <c r="AU27" s="775"/>
      <c r="AV27" s="775"/>
      <c r="AW27" s="775"/>
      <c r="AX27" s="775"/>
      <c r="AY27" s="775"/>
      <c r="AZ27" s="775"/>
      <c r="BA27" s="775"/>
      <c r="BB27" s="775"/>
      <c r="BC27" s="775"/>
      <c r="BD27" s="775"/>
      <c r="BE27" s="821"/>
    </row>
    <row r="28" spans="2:57" ht="14.4">
      <c r="B28" s="822"/>
      <c r="C28" s="762" t="s">
        <v>783</v>
      </c>
      <c r="D28" s="824"/>
      <c r="E28" s="824"/>
      <c r="F28" s="824"/>
      <c r="G28" s="824"/>
      <c r="H28" s="824"/>
      <c r="I28" s="824"/>
      <c r="J28" s="824"/>
      <c r="K28" s="824"/>
      <c r="L28" s="824"/>
      <c r="M28" s="824"/>
      <c r="N28" s="824"/>
      <c r="O28" s="824"/>
      <c r="P28" s="824"/>
      <c r="Q28" s="824"/>
      <c r="R28" s="824"/>
      <c r="S28" s="824"/>
      <c r="T28" s="824"/>
      <c r="U28" s="824"/>
      <c r="V28" s="829" t="s">
        <v>784</v>
      </c>
      <c r="W28" s="1400" t="str">
        <f ca="1">IF(AND(test="O.K.",test_1="O.K."),IF(AND(Poistné!C42="a",dospely=TRUE),Osobne_udaje!C56,""),"?")</f>
        <v>?</v>
      </c>
      <c r="X28" s="1404"/>
      <c r="Y28" s="1404"/>
      <c r="Z28" s="1404"/>
      <c r="AA28" s="1404"/>
      <c r="AB28" s="1404"/>
      <c r="AC28" s="1404"/>
      <c r="AD28" s="1404"/>
      <c r="AE28" s="1401"/>
      <c r="AF28" s="830"/>
      <c r="AG28" s="824"/>
      <c r="AH28" s="824"/>
      <c r="AI28" s="824" t="s">
        <v>833</v>
      </c>
      <c r="AJ28" s="824"/>
      <c r="AK28" s="824"/>
      <c r="AL28" s="824"/>
      <c r="AM28" s="824"/>
      <c r="AN28" s="824"/>
      <c r="AO28" s="824"/>
      <c r="AP28" s="824"/>
      <c r="AQ28" s="824"/>
      <c r="AR28" s="824"/>
      <c r="AS28" s="824"/>
      <c r="AT28" s="824"/>
      <c r="AU28" s="1406" t="str">
        <f ca="1">IF(AND(test="O.K.",test_1="O.K."),IF(Poistné!C42="a",Poistné!D45,""),"?")</f>
        <v>?</v>
      </c>
      <c r="AV28" s="1407"/>
      <c r="AW28" s="1407"/>
      <c r="AX28" s="1407"/>
      <c r="AY28" s="1407"/>
      <c r="AZ28" s="1408"/>
      <c r="BA28" s="763" t="s">
        <v>80</v>
      </c>
      <c r="BB28" s="823"/>
      <c r="BC28" s="823"/>
      <c r="BD28" s="824"/>
      <c r="BE28" s="821"/>
    </row>
    <row r="29" spans="2:57" ht="3" customHeight="1" thickBot="1">
      <c r="B29" s="822"/>
      <c r="C29" s="824"/>
      <c r="D29" s="824"/>
      <c r="E29" s="824"/>
      <c r="F29" s="824"/>
      <c r="G29" s="824"/>
      <c r="H29" s="824"/>
      <c r="I29" s="824"/>
      <c r="J29" s="824"/>
      <c r="K29" s="824"/>
      <c r="L29" s="824"/>
      <c r="M29" s="824"/>
      <c r="N29" s="824"/>
      <c r="O29" s="824"/>
      <c r="P29" s="824"/>
      <c r="Q29" s="824"/>
      <c r="R29" s="824"/>
      <c r="S29" s="824"/>
      <c r="T29" s="824"/>
      <c r="U29" s="824"/>
      <c r="V29" s="824"/>
      <c r="W29" s="824"/>
      <c r="X29" s="824"/>
      <c r="Y29" s="824"/>
      <c r="Z29" s="824"/>
      <c r="AA29" s="824"/>
      <c r="AB29" s="824"/>
      <c r="AC29" s="824"/>
      <c r="AD29" s="824"/>
      <c r="AE29" s="824"/>
      <c r="AF29" s="824"/>
      <c r="AG29" s="824"/>
      <c r="AH29" s="824"/>
      <c r="AI29" s="824"/>
      <c r="AJ29" s="824"/>
      <c r="AK29" s="824"/>
      <c r="AL29" s="824"/>
      <c r="AM29" s="824"/>
      <c r="AN29" s="824"/>
      <c r="AO29" s="824"/>
      <c r="AP29" s="824"/>
      <c r="AQ29" s="824"/>
      <c r="AR29" s="824"/>
      <c r="AS29" s="824"/>
      <c r="AT29" s="824"/>
      <c r="AU29" s="824"/>
      <c r="AV29" s="824"/>
      <c r="AW29" s="824"/>
      <c r="AX29" s="824"/>
      <c r="AY29" s="824"/>
      <c r="AZ29" s="824"/>
      <c r="BA29" s="824"/>
      <c r="BB29" s="824"/>
      <c r="BC29" s="824"/>
      <c r="BD29" s="824"/>
      <c r="BE29" s="821"/>
    </row>
    <row r="30" spans="2:57" ht="15" thickBot="1">
      <c r="B30" s="822"/>
      <c r="C30" s="824"/>
      <c r="D30" s="824"/>
      <c r="E30" s="824"/>
      <c r="F30" s="824"/>
      <c r="G30" s="824"/>
      <c r="H30" s="824"/>
      <c r="I30" s="824"/>
      <c r="J30" s="824"/>
      <c r="K30" s="824"/>
      <c r="L30" s="824"/>
      <c r="M30" s="824"/>
      <c r="N30" s="824"/>
      <c r="O30" s="824"/>
      <c r="P30" s="824"/>
      <c r="Q30" s="824"/>
      <c r="R30" s="824"/>
      <c r="S30" s="824"/>
      <c r="T30" s="824"/>
      <c r="U30" s="824"/>
      <c r="V30" s="829" t="s">
        <v>675</v>
      </c>
      <c r="W30" s="1435" t="str">
        <f ca="1">IF(AND(test="O.K.",test_1="O.K."),IF(AND(Poistné!C42="a",pocetdeti&gt;0),Osobne_udaje!C57,""),"?")</f>
        <v>?</v>
      </c>
      <c r="X30" s="1389"/>
      <c r="Y30" s="1389"/>
      <c r="Z30" s="1389"/>
      <c r="AA30" s="1389"/>
      <c r="AB30" s="1389"/>
      <c r="AC30" s="1389"/>
      <c r="AD30" s="1389"/>
      <c r="AE30" s="1390"/>
      <c r="AF30" s="830"/>
      <c r="AG30" s="824"/>
      <c r="AH30" s="824"/>
      <c r="AI30" s="824" t="s">
        <v>785</v>
      </c>
      <c r="AJ30" s="824"/>
      <c r="AK30" s="824"/>
      <c r="AL30" s="824"/>
      <c r="AM30" s="824"/>
      <c r="AN30" s="824"/>
      <c r="AO30" s="824"/>
      <c r="AP30" s="824"/>
      <c r="AQ30" s="824"/>
      <c r="AR30" s="824"/>
      <c r="AS30" s="824"/>
      <c r="AT30" s="824"/>
      <c r="AU30" s="1414" t="str">
        <f ca="1">IF(AND(test="O.K.",test_1="O.K."),IF(Poistné!C42="a",Poistné!D46,""),"?")</f>
        <v>?</v>
      </c>
      <c r="AV30" s="1415"/>
      <c r="AW30" s="1415"/>
      <c r="AX30" s="1415"/>
      <c r="AY30" s="1415"/>
      <c r="AZ30" s="1416"/>
      <c r="BA30" s="763" t="s">
        <v>80</v>
      </c>
      <c r="BB30" s="823"/>
      <c r="BC30" s="763"/>
      <c r="BD30" s="824"/>
      <c r="BE30" s="821"/>
    </row>
    <row r="31" spans="2:57" ht="18" customHeight="1" thickBot="1">
      <c r="B31" s="769"/>
      <c r="C31" s="845" t="s">
        <v>896</v>
      </c>
      <c r="D31" s="825"/>
      <c r="E31" s="825"/>
      <c r="F31" s="825"/>
      <c r="G31" s="825"/>
      <c r="H31" s="825"/>
      <c r="I31" s="825"/>
      <c r="J31" s="825"/>
      <c r="K31" s="825"/>
      <c r="L31" s="825"/>
      <c r="M31" s="825"/>
      <c r="N31" s="825"/>
      <c r="O31" s="825"/>
      <c r="P31" s="825"/>
      <c r="Q31" s="825"/>
      <c r="R31" s="825"/>
      <c r="S31" s="825"/>
      <c r="T31" s="825"/>
      <c r="U31" s="825"/>
      <c r="V31" s="825"/>
      <c r="W31" s="825"/>
      <c r="X31" s="825"/>
      <c r="Y31" s="825"/>
      <c r="Z31" s="825"/>
      <c r="AA31" s="825"/>
      <c r="AB31" s="825"/>
      <c r="AC31" s="825"/>
      <c r="AD31" s="825"/>
      <c r="AE31" s="825"/>
      <c r="AF31" s="825"/>
      <c r="AG31" s="825"/>
      <c r="AH31" s="825"/>
      <c r="AI31" s="825"/>
      <c r="AJ31" s="825"/>
      <c r="AK31" s="825"/>
      <c r="AL31" s="825"/>
      <c r="AM31" s="825"/>
      <c r="AN31" s="825"/>
      <c r="AO31" s="825"/>
      <c r="AP31" s="825"/>
      <c r="AQ31" s="825"/>
      <c r="AR31" s="825"/>
      <c r="AS31" s="825"/>
      <c r="AT31" s="825"/>
      <c r="AU31" s="825"/>
      <c r="AV31" s="825"/>
      <c r="AW31" s="825"/>
      <c r="AX31" s="825"/>
      <c r="AY31" s="825"/>
      <c r="AZ31" s="825"/>
      <c r="BA31" s="825"/>
      <c r="BB31" s="825"/>
      <c r="BC31" s="825"/>
      <c r="BD31" s="825"/>
      <c r="BE31" s="821"/>
    </row>
    <row r="32" spans="2:57" ht="13.5" customHeight="1" thickBot="1">
      <c r="B32" s="737"/>
      <c r="C32" s="738" t="s">
        <v>786</v>
      </c>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39"/>
      <c r="AL32" s="739"/>
      <c r="AM32" s="739"/>
      <c r="AN32" s="739"/>
      <c r="AO32" s="739"/>
      <c r="AP32" s="739"/>
      <c r="AQ32" s="739"/>
      <c r="AR32" s="739"/>
      <c r="AS32" s="739"/>
      <c r="AT32" s="739"/>
      <c r="AU32" s="739"/>
      <c r="AV32" s="739"/>
      <c r="AW32" s="739"/>
      <c r="AX32" s="739"/>
      <c r="AY32" s="739"/>
      <c r="AZ32" s="739"/>
      <c r="BA32" s="739"/>
      <c r="BB32" s="739"/>
      <c r="BC32" s="739"/>
      <c r="BD32" s="739"/>
      <c r="BE32" s="818"/>
    </row>
    <row r="33" spans="2:68" ht="12.75" customHeight="1">
      <c r="B33" s="831"/>
      <c r="C33" s="832" t="s">
        <v>787</v>
      </c>
      <c r="D33" s="833"/>
      <c r="E33" s="833"/>
      <c r="F33" s="833"/>
      <c r="G33" s="833"/>
      <c r="H33" s="833"/>
      <c r="I33" s="833"/>
      <c r="J33" s="833"/>
      <c r="K33" s="833"/>
      <c r="L33" s="833"/>
      <c r="M33" s="833"/>
      <c r="N33" s="833"/>
      <c r="O33" s="833"/>
      <c r="P33" s="833"/>
      <c r="Q33" s="833"/>
      <c r="R33" s="833"/>
      <c r="S33" s="833"/>
      <c r="T33" s="833"/>
      <c r="U33" s="833"/>
      <c r="V33" s="833"/>
      <c r="W33" s="833"/>
      <c r="X33" s="833"/>
      <c r="Y33" s="833"/>
      <c r="Z33" s="833"/>
      <c r="AA33" s="833"/>
      <c r="AB33" s="833"/>
      <c r="AC33" s="833"/>
      <c r="AD33" s="833"/>
      <c r="AE33" s="833"/>
      <c r="AF33" s="833"/>
      <c r="AG33" s="833"/>
      <c r="AH33" s="833"/>
      <c r="AI33" s="833"/>
      <c r="AJ33" s="833"/>
      <c r="AK33" s="833"/>
      <c r="AL33" s="833"/>
      <c r="AM33" s="833"/>
      <c r="AN33" s="833"/>
      <c r="AO33" s="833"/>
      <c r="AP33" s="833"/>
      <c r="AQ33" s="833"/>
      <c r="AR33" s="833"/>
      <c r="AS33" s="833"/>
      <c r="AT33" s="833"/>
      <c r="AU33" s="833"/>
      <c r="AV33" s="833"/>
      <c r="AW33" s="833"/>
      <c r="AX33" s="833"/>
      <c r="AY33" s="833"/>
      <c r="AZ33" s="833"/>
      <c r="BA33" s="833"/>
      <c r="BB33" s="833"/>
      <c r="BC33" s="833"/>
      <c r="BD33" s="833"/>
      <c r="BE33" s="821"/>
    </row>
    <row r="34" spans="2:68" s="916" customFormat="1" ht="14.4" customHeight="1">
      <c r="B34" s="914"/>
      <c r="C34" s="838" t="s">
        <v>788</v>
      </c>
      <c r="D34" s="838"/>
      <c r="E34" s="838"/>
      <c r="F34" s="838"/>
      <c r="G34" s="838"/>
      <c r="H34" s="838"/>
      <c r="I34" s="838"/>
      <c r="J34" s="838"/>
      <c r="K34" s="838"/>
      <c r="L34" s="838"/>
      <c r="M34" s="838"/>
      <c r="N34" s="838"/>
      <c r="O34" s="838"/>
      <c r="P34" s="838"/>
      <c r="Q34" s="838"/>
      <c r="R34" s="838"/>
      <c r="S34" s="838"/>
      <c r="T34" s="838"/>
      <c r="U34" s="838"/>
      <c r="V34" s="838"/>
      <c r="W34" s="838"/>
      <c r="X34" s="838"/>
      <c r="Y34" s="838"/>
      <c r="Z34" s="838"/>
      <c r="AA34" s="838"/>
      <c r="AB34" s="838"/>
      <c r="AC34" s="838"/>
      <c r="AD34" s="838"/>
      <c r="AE34" s="838"/>
      <c r="AF34" s="838"/>
      <c r="AG34" s="838"/>
      <c r="AH34" s="838"/>
      <c r="AI34" s="838"/>
      <c r="AJ34" s="838"/>
      <c r="AK34" s="838"/>
      <c r="AL34" s="838"/>
      <c r="AM34" s="839" t="s">
        <v>42</v>
      </c>
      <c r="AN34" s="838"/>
      <c r="AO34" s="838"/>
      <c r="AP34" s="838"/>
      <c r="AQ34" s="838"/>
      <c r="AR34" s="838"/>
      <c r="AS34" s="838"/>
      <c r="AT34" s="838"/>
      <c r="AU34" s="838"/>
      <c r="AV34" s="838"/>
      <c r="AW34" s="839" t="s">
        <v>789</v>
      </c>
      <c r="AX34" s="838"/>
      <c r="AY34" s="838"/>
      <c r="AZ34" s="838"/>
      <c r="BA34" s="838"/>
      <c r="BB34" s="838"/>
      <c r="BC34" s="838"/>
      <c r="BD34" s="838"/>
      <c r="BE34" s="915"/>
      <c r="BG34" s="1023"/>
      <c r="BH34" s="1023"/>
      <c r="BI34" s="1023"/>
      <c r="BJ34" s="1023"/>
      <c r="BK34" s="917"/>
      <c r="BL34" s="917"/>
    </row>
    <row r="35" spans="2:68" ht="15" customHeight="1">
      <c r="B35" s="837"/>
      <c r="C35" s="1388" t="str">
        <f ca="1">IF(AND(test="O.K.",test_1="O.K."),IF(Osobne_udaje!B67&gt;0,Osobne_udaje!B67,""),"?")</f>
        <v>?</v>
      </c>
      <c r="D35" s="1388"/>
      <c r="E35" s="1388"/>
      <c r="F35" s="1388"/>
      <c r="G35" s="1388"/>
      <c r="H35" s="1388"/>
      <c r="I35" s="1388"/>
      <c r="J35" s="1388"/>
      <c r="K35" s="1388"/>
      <c r="L35" s="1388"/>
      <c r="M35" s="1388"/>
      <c r="N35" s="1388"/>
      <c r="O35" s="1388"/>
      <c r="P35" s="1388"/>
      <c r="Q35" s="1388"/>
      <c r="R35" s="1388"/>
      <c r="S35" s="1388"/>
      <c r="T35" s="1388"/>
      <c r="U35" s="1388"/>
      <c r="V35" s="1388"/>
      <c r="W35" s="1388"/>
      <c r="X35" s="1388"/>
      <c r="Y35" s="1388"/>
      <c r="Z35" s="1388"/>
      <c r="AA35" s="1388"/>
      <c r="AB35" s="1388"/>
      <c r="AC35" s="1388"/>
      <c r="AD35" s="1388"/>
      <c r="AE35" s="1388"/>
      <c r="AF35" s="1388"/>
      <c r="AG35" s="1388"/>
      <c r="AH35" s="1388"/>
      <c r="AI35" s="1388"/>
      <c r="AJ35" s="1388"/>
      <c r="AK35" s="1388"/>
      <c r="AL35" s="1043"/>
      <c r="AM35" s="1444" t="str">
        <f ca="1">IF(AND(test="O.K.",test_1="O.K."),IF(Osobne_udaje!C67&gt;0,CONCATENATE(Osobne_udaje!C67,"/",Osobne_udaje!D67),""),"?")</f>
        <v>?</v>
      </c>
      <c r="AN35" s="1445"/>
      <c r="AO35" s="1445"/>
      <c r="AP35" s="1445"/>
      <c r="AQ35" s="1445"/>
      <c r="AR35" s="1445"/>
      <c r="AS35" s="1445"/>
      <c r="AT35" s="1445"/>
      <c r="AU35" s="1445"/>
      <c r="AV35" s="1446"/>
      <c r="AW35" s="1044"/>
      <c r="AX35" s="1388" t="str">
        <f ca="1">IF(AND(test="O.K.",test_1="O.K."),IF(Osobne_udaje!E67&gt;0,Osobne_udaje!E67,""),"?")</f>
        <v>?</v>
      </c>
      <c r="AY35" s="1388"/>
      <c r="AZ35" s="1388"/>
      <c r="BA35" s="1388"/>
      <c r="BB35" s="1388"/>
      <c r="BC35" s="834" t="s">
        <v>790</v>
      </c>
      <c r="BD35" s="838"/>
      <c r="BE35" s="836"/>
    </row>
    <row r="36" spans="2:68" ht="15" customHeight="1">
      <c r="B36" s="837"/>
      <c r="C36" s="1388" t="str">
        <f ca="1">IF(AND(test="O.K.",test_1="O.K."),IF(Osobne_udaje!B68&gt;0,Osobne_udaje!B68,""),"?")</f>
        <v>?</v>
      </c>
      <c r="D36" s="1388"/>
      <c r="E36" s="1388"/>
      <c r="F36" s="1388"/>
      <c r="G36" s="1388"/>
      <c r="H36" s="1388"/>
      <c r="I36" s="1388"/>
      <c r="J36" s="1388"/>
      <c r="K36" s="1388"/>
      <c r="L36" s="1388"/>
      <c r="M36" s="1388"/>
      <c r="N36" s="1388"/>
      <c r="O36" s="1388"/>
      <c r="P36" s="1388"/>
      <c r="Q36" s="1388"/>
      <c r="R36" s="1388"/>
      <c r="S36" s="1388"/>
      <c r="T36" s="1388"/>
      <c r="U36" s="1388"/>
      <c r="V36" s="1388"/>
      <c r="W36" s="1388"/>
      <c r="X36" s="1388"/>
      <c r="Y36" s="1388"/>
      <c r="Z36" s="1388"/>
      <c r="AA36" s="1388"/>
      <c r="AB36" s="1388"/>
      <c r="AC36" s="1388"/>
      <c r="AD36" s="1388"/>
      <c r="AE36" s="1388"/>
      <c r="AF36" s="1388"/>
      <c r="AG36" s="1388"/>
      <c r="AH36" s="1388"/>
      <c r="AI36" s="1388"/>
      <c r="AJ36" s="1388"/>
      <c r="AK36" s="1388"/>
      <c r="AL36" s="1043"/>
      <c r="AM36" s="1444" t="str">
        <f ca="1">IF(AND(test="O.K.",test_1="O.K."),IF(Osobne_udaje!C68&gt;0,CONCATENATE(Osobne_udaje!C68,"/",Osobne_udaje!D68),""),"?")</f>
        <v>?</v>
      </c>
      <c r="AN36" s="1445"/>
      <c r="AO36" s="1445"/>
      <c r="AP36" s="1445"/>
      <c r="AQ36" s="1445"/>
      <c r="AR36" s="1445"/>
      <c r="AS36" s="1445"/>
      <c r="AT36" s="1445"/>
      <c r="AU36" s="1445"/>
      <c r="AV36" s="1446"/>
      <c r="AW36" s="1044"/>
      <c r="AX36" s="1388" t="str">
        <f ca="1">IF(AND(test="O.K.",test_1="O.K."),IF(Osobne_udaje!E68&gt;0,Osobne_udaje!E68,""),"?")</f>
        <v>?</v>
      </c>
      <c r="AY36" s="1388"/>
      <c r="AZ36" s="1388"/>
      <c r="BA36" s="1388"/>
      <c r="BB36" s="1388"/>
      <c r="BC36" s="834" t="s">
        <v>790</v>
      </c>
      <c r="BD36" s="838"/>
      <c r="BE36" s="836"/>
    </row>
    <row r="37" spans="2:68" ht="15" customHeight="1">
      <c r="B37" s="849"/>
      <c r="C37" s="1388" t="str">
        <f ca="1">IF(AND(test="O.K.",test_1="O.K."),IF(Osobne_udaje!B69&gt;0,Osobne_udaje!B69,""),"?")</f>
        <v>?</v>
      </c>
      <c r="D37" s="1388"/>
      <c r="E37" s="1388"/>
      <c r="F37" s="1388"/>
      <c r="G37" s="1388"/>
      <c r="H37" s="1388"/>
      <c r="I37" s="1388"/>
      <c r="J37" s="1388"/>
      <c r="K37" s="1388"/>
      <c r="L37" s="1388"/>
      <c r="M37" s="1388"/>
      <c r="N37" s="1388"/>
      <c r="O37" s="1388"/>
      <c r="P37" s="1388"/>
      <c r="Q37" s="1388"/>
      <c r="R37" s="1388"/>
      <c r="S37" s="1388"/>
      <c r="T37" s="1388"/>
      <c r="U37" s="1388"/>
      <c r="V37" s="1388"/>
      <c r="W37" s="1388"/>
      <c r="X37" s="1388"/>
      <c r="Y37" s="1388"/>
      <c r="Z37" s="1388"/>
      <c r="AA37" s="1388"/>
      <c r="AB37" s="1388"/>
      <c r="AC37" s="1388"/>
      <c r="AD37" s="1388"/>
      <c r="AE37" s="1388"/>
      <c r="AF37" s="1388"/>
      <c r="AG37" s="1388"/>
      <c r="AH37" s="1388"/>
      <c r="AI37" s="1388"/>
      <c r="AJ37" s="1388"/>
      <c r="AK37" s="1388"/>
      <c r="AL37" s="1045"/>
      <c r="AM37" s="1444" t="str">
        <f ca="1">IF(AND(test="O.K.",test_1="O.K."),IF(Osobne_udaje!C69&gt;0,CONCATENATE(Osobne_udaje!C69,"/",Osobne_udaje!D69),""),"?")</f>
        <v>?</v>
      </c>
      <c r="AN37" s="1445"/>
      <c r="AO37" s="1445"/>
      <c r="AP37" s="1445"/>
      <c r="AQ37" s="1445"/>
      <c r="AR37" s="1445"/>
      <c r="AS37" s="1445"/>
      <c r="AT37" s="1445"/>
      <c r="AU37" s="1445"/>
      <c r="AV37" s="1446"/>
      <c r="AW37" s="1046"/>
      <c r="AX37" s="1388" t="str">
        <f ca="1">IF(AND(test="O.K.",test_1="O.K."),IF(Osobne_udaje!E69&gt;0,Osobne_udaje!E69,""),"?")</f>
        <v>?</v>
      </c>
      <c r="AY37" s="1388"/>
      <c r="AZ37" s="1388"/>
      <c r="BA37" s="1388"/>
      <c r="BB37" s="1388"/>
      <c r="BC37" s="850" t="s">
        <v>790</v>
      </c>
      <c r="BD37" s="802"/>
      <c r="BE37" s="821"/>
    </row>
    <row r="38" spans="2:68" ht="44.25" customHeight="1" thickBot="1">
      <c r="B38" s="858"/>
      <c r="C38" s="1453" t="s">
        <v>834</v>
      </c>
      <c r="D38" s="1453"/>
      <c r="E38" s="1453"/>
      <c r="F38" s="1453"/>
      <c r="G38" s="1453"/>
      <c r="H38" s="1453"/>
      <c r="I38" s="1453"/>
      <c r="J38" s="1453"/>
      <c r="K38" s="1453"/>
      <c r="L38" s="1453"/>
      <c r="M38" s="1453"/>
      <c r="N38" s="1453"/>
      <c r="O38" s="1453"/>
      <c r="P38" s="1453"/>
      <c r="Q38" s="1453"/>
      <c r="R38" s="1453"/>
      <c r="S38" s="1453"/>
      <c r="T38" s="1453"/>
      <c r="U38" s="1453"/>
      <c r="V38" s="1453"/>
      <c r="W38" s="1453"/>
      <c r="X38" s="1453"/>
      <c r="Y38" s="1453"/>
      <c r="Z38" s="1453"/>
      <c r="AA38" s="1453"/>
      <c r="AB38" s="1453"/>
      <c r="AC38" s="1453"/>
      <c r="AD38" s="1453"/>
      <c r="AE38" s="1453"/>
      <c r="AF38" s="1453"/>
      <c r="AG38" s="1453"/>
      <c r="AH38" s="1453"/>
      <c r="AI38" s="1453"/>
      <c r="AJ38" s="1453"/>
      <c r="AK38" s="1453"/>
      <c r="AL38" s="1453"/>
      <c r="AM38" s="1453"/>
      <c r="AN38" s="1453"/>
      <c r="AO38" s="1453"/>
      <c r="AP38" s="1453"/>
      <c r="AQ38" s="1453"/>
      <c r="AR38" s="1453"/>
      <c r="AS38" s="1453"/>
      <c r="AT38" s="1453"/>
      <c r="AU38" s="1453"/>
      <c r="AV38" s="1453"/>
      <c r="AW38" s="1453"/>
      <c r="AX38" s="1453"/>
      <c r="AY38" s="1453"/>
      <c r="AZ38" s="1453"/>
      <c r="BA38" s="1453"/>
      <c r="BB38" s="1453"/>
      <c r="BC38" s="1453"/>
      <c r="BD38" s="1453"/>
      <c r="BE38" s="851"/>
    </row>
    <row r="39" spans="2:68" ht="6" customHeight="1" thickBot="1">
      <c r="B39" s="852"/>
      <c r="C39" s="859"/>
      <c r="D39" s="859"/>
      <c r="E39" s="859"/>
      <c r="F39" s="859"/>
      <c r="G39" s="859"/>
      <c r="H39" s="859"/>
      <c r="I39" s="859"/>
      <c r="J39" s="859"/>
      <c r="K39" s="859"/>
      <c r="L39" s="859"/>
      <c r="M39" s="859"/>
      <c r="N39" s="859"/>
      <c r="O39" s="859"/>
      <c r="P39" s="859"/>
      <c r="Q39" s="859"/>
      <c r="R39" s="859"/>
      <c r="S39" s="859"/>
      <c r="T39" s="859"/>
      <c r="U39" s="859"/>
      <c r="V39" s="859"/>
      <c r="W39" s="859"/>
      <c r="X39" s="859"/>
      <c r="Y39" s="859"/>
      <c r="Z39" s="859"/>
      <c r="AA39" s="859"/>
      <c r="AB39" s="859"/>
      <c r="AC39" s="859"/>
      <c r="AD39" s="859"/>
      <c r="AE39" s="859"/>
      <c r="AF39" s="859"/>
      <c r="AG39" s="859"/>
      <c r="AH39" s="859"/>
      <c r="AI39" s="859"/>
      <c r="AJ39" s="859"/>
      <c r="AK39" s="859"/>
      <c r="AL39" s="859"/>
      <c r="AM39" s="859"/>
      <c r="AN39" s="859"/>
      <c r="AO39" s="859"/>
      <c r="AP39" s="859"/>
      <c r="AQ39" s="859"/>
      <c r="AR39" s="859"/>
      <c r="AS39" s="859"/>
      <c r="AT39" s="859"/>
      <c r="AU39" s="859"/>
      <c r="AV39" s="859"/>
      <c r="AW39" s="859"/>
      <c r="AX39" s="859"/>
      <c r="AY39" s="859"/>
      <c r="AZ39" s="859"/>
      <c r="BA39" s="859"/>
      <c r="BB39" s="859"/>
      <c r="BC39" s="859"/>
      <c r="BD39" s="859"/>
      <c r="BE39" s="852"/>
    </row>
    <row r="40" spans="2:68" ht="3" customHeight="1">
      <c r="B40" s="860"/>
      <c r="C40" s="861"/>
      <c r="D40" s="861"/>
      <c r="E40" s="861"/>
      <c r="F40" s="861"/>
      <c r="G40" s="861"/>
      <c r="H40" s="861"/>
      <c r="I40" s="861"/>
      <c r="J40" s="861"/>
      <c r="K40" s="861"/>
      <c r="L40" s="861"/>
      <c r="M40" s="861"/>
      <c r="N40" s="861"/>
      <c r="O40" s="861"/>
      <c r="P40" s="861"/>
      <c r="Q40" s="861"/>
      <c r="R40" s="861"/>
      <c r="S40" s="861"/>
      <c r="T40" s="861"/>
      <c r="U40" s="861"/>
      <c r="V40" s="861"/>
      <c r="W40" s="861"/>
      <c r="X40" s="861"/>
      <c r="Y40" s="861"/>
      <c r="Z40" s="861"/>
      <c r="AA40" s="861"/>
      <c r="AB40" s="861"/>
      <c r="AC40" s="861"/>
      <c r="AD40" s="861"/>
      <c r="AE40" s="861"/>
      <c r="AF40" s="861"/>
      <c r="AG40" s="861"/>
      <c r="AH40" s="861"/>
      <c r="AI40" s="861"/>
      <c r="AJ40" s="861"/>
      <c r="AK40" s="861"/>
      <c r="AL40" s="861"/>
      <c r="AM40" s="861"/>
      <c r="AN40" s="861"/>
      <c r="AO40" s="861"/>
      <c r="AP40" s="861"/>
      <c r="AQ40" s="861"/>
      <c r="AR40" s="861"/>
      <c r="AS40" s="861"/>
      <c r="AT40" s="861"/>
      <c r="AU40" s="861"/>
      <c r="AV40" s="861"/>
      <c r="AW40" s="861"/>
      <c r="AX40" s="861"/>
      <c r="AY40" s="861"/>
      <c r="AZ40" s="861"/>
      <c r="BA40" s="861"/>
      <c r="BB40" s="861"/>
      <c r="BC40" s="861"/>
      <c r="BD40" s="861"/>
      <c r="BE40" s="854"/>
      <c r="BK40" s="1449" t="str">
        <f>IF(BG43=TRUE,"POZOR - Poistenie je možné uzavrieť až po skončení PN!",IF(OR(BG47=TRUE,BG45=TRUE,BI43=TRUE,BI45=TRUE,BI47=TRUE),"POZOR - Ide o nepoistiteľnú osobu podľa VPP UI!",""))</f>
        <v/>
      </c>
      <c r="BL40" s="1449"/>
      <c r="BM40" s="1449"/>
      <c r="BN40" s="1449"/>
      <c r="BO40" s="1449"/>
      <c r="BP40" s="1449"/>
    </row>
    <row r="41" spans="2:68" ht="12.75" customHeight="1">
      <c r="B41" s="862"/>
      <c r="C41" s="863" t="s">
        <v>791</v>
      </c>
      <c r="D41" s="864"/>
      <c r="E41" s="864"/>
      <c r="F41" s="864"/>
      <c r="G41" s="864"/>
      <c r="H41" s="864"/>
      <c r="I41" s="864"/>
      <c r="J41" s="864"/>
      <c r="K41" s="864"/>
      <c r="L41" s="864"/>
      <c r="M41" s="864"/>
      <c r="N41" s="864"/>
      <c r="O41" s="864"/>
      <c r="P41" s="864"/>
      <c r="Q41" s="864"/>
      <c r="R41" s="864"/>
      <c r="S41" s="864"/>
      <c r="T41" s="864"/>
      <c r="U41" s="864"/>
      <c r="V41" s="864"/>
      <c r="W41" s="864"/>
      <c r="X41" s="864"/>
      <c r="Y41" s="864"/>
      <c r="Z41" s="864"/>
      <c r="AA41" s="864"/>
      <c r="AB41" s="864"/>
      <c r="AC41" s="864"/>
      <c r="AD41" s="864"/>
      <c r="AE41" s="864"/>
      <c r="AF41" s="864"/>
      <c r="AG41" s="864"/>
      <c r="AH41" s="864"/>
      <c r="AI41" s="864"/>
      <c r="AJ41" s="864"/>
      <c r="AK41" s="864"/>
      <c r="AL41" s="864"/>
      <c r="AM41" s="864"/>
      <c r="AN41" s="864"/>
      <c r="AO41" s="864"/>
      <c r="AP41" s="864"/>
      <c r="AQ41" s="864"/>
      <c r="AR41" s="864"/>
      <c r="AS41" s="864"/>
      <c r="AT41" s="864"/>
      <c r="AU41" s="864"/>
      <c r="AV41" s="864"/>
      <c r="AW41" s="864"/>
      <c r="AX41" s="864"/>
      <c r="AY41" s="864"/>
      <c r="AZ41" s="864"/>
      <c r="BA41" s="864"/>
      <c r="BB41" s="864"/>
      <c r="BC41" s="864"/>
      <c r="BD41" s="864"/>
      <c r="BE41" s="853"/>
      <c r="BK41" s="1449"/>
      <c r="BL41" s="1449"/>
      <c r="BM41" s="1449"/>
      <c r="BN41" s="1449"/>
      <c r="BO41" s="1449"/>
      <c r="BP41" s="1449"/>
    </row>
    <row r="42" spans="2:68" ht="3" customHeight="1" thickBot="1">
      <c r="B42" s="865"/>
      <c r="C42" s="866"/>
      <c r="D42" s="867"/>
      <c r="E42" s="867"/>
      <c r="F42" s="867"/>
      <c r="G42" s="867"/>
      <c r="H42" s="867"/>
      <c r="I42" s="867"/>
      <c r="J42" s="867"/>
      <c r="K42" s="867"/>
      <c r="L42" s="867"/>
      <c r="M42" s="867"/>
      <c r="N42" s="867"/>
      <c r="O42" s="867"/>
      <c r="P42" s="867"/>
      <c r="Q42" s="867"/>
      <c r="R42" s="867"/>
      <c r="S42" s="867"/>
      <c r="T42" s="867"/>
      <c r="U42" s="867"/>
      <c r="V42" s="867"/>
      <c r="W42" s="867"/>
      <c r="X42" s="867"/>
      <c r="Y42" s="867"/>
      <c r="Z42" s="867"/>
      <c r="AA42" s="867"/>
      <c r="AB42" s="867"/>
      <c r="AC42" s="867"/>
      <c r="AD42" s="867"/>
      <c r="AE42" s="867"/>
      <c r="AF42" s="867"/>
      <c r="AG42" s="867"/>
      <c r="AH42" s="867"/>
      <c r="AI42" s="867"/>
      <c r="AJ42" s="867"/>
      <c r="AK42" s="867"/>
      <c r="AL42" s="867"/>
      <c r="AM42" s="867"/>
      <c r="AN42" s="867"/>
      <c r="AO42" s="867"/>
      <c r="AP42" s="867"/>
      <c r="AQ42" s="867"/>
      <c r="AR42" s="867"/>
      <c r="AS42" s="867"/>
      <c r="AT42" s="867"/>
      <c r="AU42" s="867"/>
      <c r="AV42" s="867"/>
      <c r="AW42" s="867"/>
      <c r="AX42" s="867"/>
      <c r="AY42" s="867"/>
      <c r="AZ42" s="867"/>
      <c r="BA42" s="867"/>
      <c r="BB42" s="867"/>
      <c r="BC42" s="867"/>
      <c r="BD42" s="867"/>
      <c r="BE42" s="855"/>
      <c r="BK42" s="1449"/>
      <c r="BL42" s="1449"/>
      <c r="BM42" s="1449"/>
      <c r="BN42" s="1449"/>
      <c r="BO42" s="1449"/>
      <c r="BP42" s="1449"/>
    </row>
    <row r="43" spans="2:68" ht="14.4">
      <c r="B43" s="1454" t="s">
        <v>792</v>
      </c>
      <c r="C43" s="1455"/>
      <c r="D43" s="868" t="s">
        <v>793</v>
      </c>
      <c r="E43" s="869" t="s">
        <v>878</v>
      </c>
      <c r="F43" s="870"/>
      <c r="G43" s="870"/>
      <c r="H43" s="870"/>
      <c r="I43" s="870"/>
      <c r="J43" s="870"/>
      <c r="K43" s="870"/>
      <c r="L43" s="870"/>
      <c r="M43" s="870"/>
      <c r="N43" s="870"/>
      <c r="O43" s="870"/>
      <c r="P43" s="870"/>
      <c r="Q43" s="870"/>
      <c r="R43" s="870"/>
      <c r="S43" s="870"/>
      <c r="T43" s="870"/>
      <c r="U43" s="870"/>
      <c r="V43" s="871"/>
      <c r="W43" s="871" t="s">
        <v>709</v>
      </c>
      <c r="X43" s="870"/>
      <c r="Y43" s="871"/>
      <c r="Z43" s="871" t="s">
        <v>688</v>
      </c>
      <c r="AA43" s="870"/>
      <c r="AB43" s="872"/>
      <c r="AC43" s="872" t="s">
        <v>801</v>
      </c>
      <c r="AD43" s="868" t="s">
        <v>880</v>
      </c>
      <c r="AE43" s="870"/>
      <c r="AF43" s="870"/>
      <c r="AG43" s="870"/>
      <c r="AH43" s="870"/>
      <c r="AI43" s="870"/>
      <c r="AJ43" s="870"/>
      <c r="AK43" s="870"/>
      <c r="AL43" s="870"/>
      <c r="AM43" s="870"/>
      <c r="AN43" s="870"/>
      <c r="AO43" s="870"/>
      <c r="AP43" s="870"/>
      <c r="AQ43" s="870"/>
      <c r="AR43" s="870"/>
      <c r="AS43" s="870"/>
      <c r="AT43" s="870"/>
      <c r="AU43" s="870"/>
      <c r="AV43" s="870"/>
      <c r="AW43" s="872"/>
      <c r="AX43" s="870"/>
      <c r="AY43" s="870"/>
      <c r="AZ43" s="871" t="s">
        <v>709</v>
      </c>
      <c r="BA43" s="870"/>
      <c r="BB43" s="870"/>
      <c r="BC43" s="871" t="s">
        <v>688</v>
      </c>
      <c r="BD43" s="870"/>
      <c r="BE43" s="821"/>
      <c r="BG43" s="1022" t="b">
        <v>0</v>
      </c>
      <c r="BH43" s="1022" t="b">
        <v>0</v>
      </c>
      <c r="BI43" s="1022" t="b">
        <v>0</v>
      </c>
      <c r="BJ43" s="1022" t="b">
        <v>0</v>
      </c>
      <c r="BK43" s="920" t="str">
        <f>IF(Osobne_udaje!$C$7="nie(poistené je iba dieťa/deti)","",IF(OR(AND(BG43=FALSE,BH43=FALSE),AND(BI43=FALSE,BJ43=FALSE)),"Potrebné uviesť ÁNO alebo NIE!",IF(OR(AND(BG43=TRUE,BH43=TRUE),AND(BI43=TRUE,BJ43=TRUE)),"Potrebné uviesť iba jedno z ÁNO alebo NIE!","")))</f>
        <v>Potrebné uviesť ÁNO alebo NIE!</v>
      </c>
    </row>
    <row r="44" spans="2:68" ht="3" customHeight="1">
      <c r="B44" s="873"/>
      <c r="C44" s="870"/>
      <c r="D44" s="870"/>
      <c r="E44" s="870"/>
      <c r="F44" s="870"/>
      <c r="G44" s="870"/>
      <c r="H44" s="870"/>
      <c r="I44" s="870"/>
      <c r="J44" s="870"/>
      <c r="K44" s="870"/>
      <c r="L44" s="870"/>
      <c r="M44" s="870"/>
      <c r="N44" s="870"/>
      <c r="O44" s="870"/>
      <c r="P44" s="870"/>
      <c r="Q44" s="870"/>
      <c r="R44" s="870"/>
      <c r="S44" s="870"/>
      <c r="T44" s="870"/>
      <c r="U44" s="870"/>
      <c r="V44" s="870"/>
      <c r="W44" s="870"/>
      <c r="X44" s="870"/>
      <c r="Y44" s="870"/>
      <c r="Z44" s="870"/>
      <c r="AA44" s="870"/>
      <c r="AB44" s="870"/>
      <c r="AC44" s="870"/>
      <c r="AD44" s="870"/>
      <c r="AE44" s="870"/>
      <c r="AF44" s="870"/>
      <c r="AG44" s="870"/>
      <c r="AH44" s="870"/>
      <c r="AI44" s="870"/>
      <c r="AJ44" s="870"/>
      <c r="AK44" s="870"/>
      <c r="AL44" s="870"/>
      <c r="AM44" s="870"/>
      <c r="AN44" s="870"/>
      <c r="AO44" s="870"/>
      <c r="AP44" s="870"/>
      <c r="AQ44" s="870"/>
      <c r="AR44" s="870"/>
      <c r="AS44" s="870"/>
      <c r="AT44" s="870"/>
      <c r="AU44" s="870"/>
      <c r="AV44" s="870"/>
      <c r="AW44" s="870"/>
      <c r="AX44" s="870"/>
      <c r="AY44" s="870"/>
      <c r="AZ44" s="870"/>
      <c r="BA44" s="870"/>
      <c r="BB44" s="870"/>
      <c r="BC44" s="870"/>
      <c r="BD44" s="870"/>
      <c r="BE44" s="821"/>
      <c r="BK44" s="920"/>
    </row>
    <row r="45" spans="2:68" ht="12.75" customHeight="1">
      <c r="B45" s="873"/>
      <c r="C45" s="868"/>
      <c r="D45" s="868" t="s">
        <v>795</v>
      </c>
      <c r="E45" s="868" t="s">
        <v>879</v>
      </c>
      <c r="F45" s="870"/>
      <c r="G45" s="870"/>
      <c r="H45" s="870"/>
      <c r="I45" s="870"/>
      <c r="J45" s="870"/>
      <c r="K45" s="870"/>
      <c r="L45" s="870"/>
      <c r="M45" s="870"/>
      <c r="N45" s="870"/>
      <c r="O45" s="870"/>
      <c r="P45" s="870"/>
      <c r="Q45" s="870"/>
      <c r="R45" s="870"/>
      <c r="S45" s="870"/>
      <c r="T45" s="870"/>
      <c r="U45" s="870"/>
      <c r="V45" s="871"/>
      <c r="W45" s="871" t="s">
        <v>709</v>
      </c>
      <c r="X45" s="870"/>
      <c r="Y45" s="871"/>
      <c r="Z45" s="871" t="s">
        <v>688</v>
      </c>
      <c r="AA45" s="870"/>
      <c r="AB45" s="872"/>
      <c r="AC45" s="872" t="s">
        <v>794</v>
      </c>
      <c r="AD45" s="868" t="s">
        <v>881</v>
      </c>
      <c r="AE45" s="870"/>
      <c r="AF45" s="870"/>
      <c r="AG45" s="870"/>
      <c r="AH45" s="870"/>
      <c r="AI45" s="870"/>
      <c r="AJ45" s="870"/>
      <c r="AK45" s="870"/>
      <c r="AL45" s="870"/>
      <c r="AM45" s="870"/>
      <c r="AN45" s="870"/>
      <c r="AO45" s="870"/>
      <c r="AP45" s="870"/>
      <c r="AQ45" s="870"/>
      <c r="AR45" s="870"/>
      <c r="AS45" s="870"/>
      <c r="AT45" s="870"/>
      <c r="AU45" s="870"/>
      <c r="AV45" s="870"/>
      <c r="AW45" s="870"/>
      <c r="AX45" s="870"/>
      <c r="AY45" s="870"/>
      <c r="AZ45" s="871" t="s">
        <v>709</v>
      </c>
      <c r="BA45" s="870"/>
      <c r="BB45" s="870"/>
      <c r="BC45" s="871" t="s">
        <v>688</v>
      </c>
      <c r="BD45" s="870"/>
      <c r="BE45" s="821"/>
      <c r="BG45" s="1022" t="b">
        <v>0</v>
      </c>
      <c r="BH45" s="1022" t="b">
        <v>0</v>
      </c>
      <c r="BI45" s="1022" t="b">
        <v>0</v>
      </c>
      <c r="BJ45" s="1022" t="b">
        <v>0</v>
      </c>
      <c r="BK45" s="920" t="str">
        <f>IF(Osobne_udaje!$C$7="nie(poistené je iba dieťa/deti)","",IF(OR(AND(BG45=FALSE,BH45=FALSE),AND(BI45=FALSE,BJ45=FALSE)),"Potrebné uviesť ÁNO alebo NIE!",IF(OR(AND(BG45=TRUE,BH45=TRUE),AND(BI45=TRUE,BJ45=TRUE)),"Potrebné uviesť iba jedno z ÁNO alebo NIE!","")))</f>
        <v>Potrebné uviesť ÁNO alebo NIE!</v>
      </c>
    </row>
    <row r="46" spans="2:68" ht="3" customHeight="1">
      <c r="B46" s="873"/>
      <c r="C46" s="870"/>
      <c r="D46" s="870"/>
      <c r="E46" s="870"/>
      <c r="F46" s="870"/>
      <c r="G46" s="870"/>
      <c r="H46" s="870"/>
      <c r="I46" s="870"/>
      <c r="J46" s="870"/>
      <c r="K46" s="870"/>
      <c r="L46" s="870"/>
      <c r="M46" s="870"/>
      <c r="N46" s="870"/>
      <c r="O46" s="870"/>
      <c r="P46" s="870"/>
      <c r="Q46" s="870"/>
      <c r="R46" s="870"/>
      <c r="S46" s="870"/>
      <c r="T46" s="870"/>
      <c r="U46" s="870"/>
      <c r="V46" s="870"/>
      <c r="W46" s="870"/>
      <c r="X46" s="870"/>
      <c r="Y46" s="870"/>
      <c r="Z46" s="870"/>
      <c r="AA46" s="870"/>
      <c r="AB46" s="870"/>
      <c r="AC46" s="870"/>
      <c r="AD46" s="870"/>
      <c r="AE46" s="870"/>
      <c r="AF46" s="870"/>
      <c r="AG46" s="870"/>
      <c r="AH46" s="870"/>
      <c r="AI46" s="870"/>
      <c r="AJ46" s="870"/>
      <c r="AK46" s="870"/>
      <c r="AL46" s="870"/>
      <c r="AM46" s="870"/>
      <c r="AN46" s="870"/>
      <c r="AO46" s="870"/>
      <c r="AP46" s="870"/>
      <c r="AQ46" s="870"/>
      <c r="AR46" s="870"/>
      <c r="AS46" s="870"/>
      <c r="AT46" s="870"/>
      <c r="AU46" s="870"/>
      <c r="AV46" s="870"/>
      <c r="AW46" s="870"/>
      <c r="AX46" s="870"/>
      <c r="AY46" s="870"/>
      <c r="AZ46" s="870"/>
      <c r="BA46" s="870"/>
      <c r="BB46" s="870"/>
      <c r="BC46" s="870"/>
      <c r="BD46" s="870"/>
      <c r="BE46" s="821"/>
      <c r="BK46" s="920"/>
    </row>
    <row r="47" spans="2:68" ht="12.75" customHeight="1">
      <c r="B47" s="873"/>
      <c r="C47" s="868"/>
      <c r="D47" s="868" t="s">
        <v>798</v>
      </c>
      <c r="E47" s="868" t="s">
        <v>799</v>
      </c>
      <c r="F47" s="870"/>
      <c r="G47" s="870"/>
      <c r="H47" s="870"/>
      <c r="I47" s="870"/>
      <c r="J47" s="870"/>
      <c r="K47" s="870"/>
      <c r="L47" s="870"/>
      <c r="M47" s="870"/>
      <c r="N47" s="870"/>
      <c r="O47" s="870"/>
      <c r="P47" s="870"/>
      <c r="Q47" s="870"/>
      <c r="R47" s="870"/>
      <c r="S47" s="870"/>
      <c r="T47" s="870"/>
      <c r="U47" s="870"/>
      <c r="V47" s="871"/>
      <c r="W47" s="871" t="s">
        <v>709</v>
      </c>
      <c r="X47" s="870"/>
      <c r="Y47" s="871"/>
      <c r="Z47" s="871" t="s">
        <v>688</v>
      </c>
      <c r="AA47" s="870"/>
      <c r="AB47" s="868"/>
      <c r="AC47" s="868" t="s">
        <v>796</v>
      </c>
      <c r="AD47" s="868" t="s">
        <v>882</v>
      </c>
      <c r="AE47" s="874"/>
      <c r="AF47" s="874"/>
      <c r="AG47" s="874"/>
      <c r="AH47" s="874"/>
      <c r="AI47" s="874"/>
      <c r="AJ47" s="874"/>
      <c r="AK47" s="874"/>
      <c r="AL47" s="874"/>
      <c r="AM47" s="874"/>
      <c r="AN47" s="874"/>
      <c r="AO47" s="874"/>
      <c r="AP47" s="874"/>
      <c r="AQ47" s="874"/>
      <c r="AR47" s="874"/>
      <c r="AS47" s="874"/>
      <c r="AT47" s="874"/>
      <c r="AU47" s="874"/>
      <c r="AV47" s="874"/>
      <c r="AW47" s="874"/>
      <c r="AX47" s="874"/>
      <c r="AY47" s="874"/>
      <c r="AZ47" s="871" t="s">
        <v>709</v>
      </c>
      <c r="BA47" s="870"/>
      <c r="BB47" s="870"/>
      <c r="BC47" s="871" t="s">
        <v>688</v>
      </c>
      <c r="BD47" s="874"/>
      <c r="BE47" s="821"/>
      <c r="BG47" s="1022" t="b">
        <v>0</v>
      </c>
      <c r="BH47" s="1022" t="b">
        <v>0</v>
      </c>
      <c r="BI47" s="1022" t="b">
        <v>0</v>
      </c>
      <c r="BJ47" s="1022" t="b">
        <v>0</v>
      </c>
      <c r="BK47" s="920" t="str">
        <f>IF(Osobne_udaje!$C$7="nie(poistené je iba dieťa/deti)","",IF(OR(AND(BG47=FALSE,BH47=FALSE),AND(BI47=FALSE,BJ47=FALSE)),"Potrebné uviesť ÁNO alebo NIE!",IF(OR(AND(BG47=TRUE,BH47=TRUE),AND(BI47=TRUE,BJ47=TRUE)),"Potrebné uviesť iba jedno z ÁNO alebo NIE!","")))</f>
        <v>Potrebné uviesť ÁNO alebo NIE!</v>
      </c>
    </row>
    <row r="48" spans="2:68" ht="3" customHeight="1">
      <c r="B48" s="873"/>
      <c r="C48" s="870"/>
      <c r="D48" s="870"/>
      <c r="E48" s="870"/>
      <c r="F48" s="870"/>
      <c r="G48" s="870"/>
      <c r="H48" s="870"/>
      <c r="I48" s="870"/>
      <c r="J48" s="870"/>
      <c r="K48" s="870"/>
      <c r="L48" s="870"/>
      <c r="M48" s="870"/>
      <c r="N48" s="870"/>
      <c r="O48" s="870"/>
      <c r="P48" s="870"/>
      <c r="Q48" s="870"/>
      <c r="R48" s="870"/>
      <c r="S48" s="870"/>
      <c r="T48" s="870"/>
      <c r="U48" s="870"/>
      <c r="V48" s="870"/>
      <c r="W48" s="870"/>
      <c r="X48" s="870"/>
      <c r="Y48" s="870"/>
      <c r="Z48" s="870"/>
      <c r="AA48" s="870"/>
      <c r="AB48" s="874"/>
      <c r="AC48" s="874"/>
      <c r="AD48" s="874"/>
      <c r="AE48" s="874"/>
      <c r="AF48" s="874"/>
      <c r="AG48" s="874"/>
      <c r="AH48" s="874"/>
      <c r="AI48" s="874"/>
      <c r="AJ48" s="874"/>
      <c r="AK48" s="874"/>
      <c r="AL48" s="874"/>
      <c r="AM48" s="874"/>
      <c r="AN48" s="874"/>
      <c r="AO48" s="874"/>
      <c r="AP48" s="874"/>
      <c r="AQ48" s="874"/>
      <c r="AR48" s="874"/>
      <c r="AS48" s="874"/>
      <c r="AT48" s="874"/>
      <c r="AU48" s="874"/>
      <c r="AV48" s="874"/>
      <c r="AW48" s="874"/>
      <c r="AX48" s="874"/>
      <c r="AY48" s="874"/>
      <c r="AZ48" s="874"/>
      <c r="BA48" s="874"/>
      <c r="BB48" s="874"/>
      <c r="BC48" s="874"/>
      <c r="BD48" s="874"/>
      <c r="BE48" s="821"/>
      <c r="BK48" s="920"/>
    </row>
    <row r="49" spans="2:88" ht="12.75" customHeight="1">
      <c r="B49" s="873"/>
      <c r="C49" s="868"/>
      <c r="D49" s="868" t="s">
        <v>800</v>
      </c>
      <c r="E49" s="868" t="s">
        <v>797</v>
      </c>
      <c r="F49" s="870"/>
      <c r="G49" s="870"/>
      <c r="H49" s="870"/>
      <c r="I49" s="870"/>
      <c r="J49" s="870"/>
      <c r="K49" s="870"/>
      <c r="L49" s="870"/>
      <c r="M49" s="870"/>
      <c r="N49" s="870"/>
      <c r="O49" s="870"/>
      <c r="P49" s="870"/>
      <c r="Q49" s="870"/>
      <c r="R49" s="870"/>
      <c r="S49" s="870"/>
      <c r="T49" s="870"/>
      <c r="U49" s="870"/>
      <c r="V49" s="871"/>
      <c r="W49" s="871" t="s">
        <v>709</v>
      </c>
      <c r="X49" s="870"/>
      <c r="Y49" s="871"/>
      <c r="Z49" s="871" t="s">
        <v>688</v>
      </c>
      <c r="AA49" s="870"/>
      <c r="AB49" s="874"/>
      <c r="AC49" s="874"/>
      <c r="AD49" s="874"/>
      <c r="AE49" s="874"/>
      <c r="AF49" s="874"/>
      <c r="AG49" s="874"/>
      <c r="AH49" s="874"/>
      <c r="AI49" s="874"/>
      <c r="AJ49" s="874"/>
      <c r="AK49" s="874"/>
      <c r="AL49" s="874"/>
      <c r="AM49" s="874"/>
      <c r="AN49" s="874"/>
      <c r="AO49" s="874"/>
      <c r="AP49" s="874"/>
      <c r="AQ49" s="874"/>
      <c r="AR49" s="874"/>
      <c r="AS49" s="874"/>
      <c r="AT49" s="874"/>
      <c r="AU49" s="874"/>
      <c r="AV49" s="874"/>
      <c r="AW49" s="874"/>
      <c r="AX49" s="874"/>
      <c r="AY49" s="874"/>
      <c r="AZ49" s="874"/>
      <c r="BA49" s="874"/>
      <c r="BB49" s="874"/>
      <c r="BC49" s="874"/>
      <c r="BD49" s="874"/>
      <c r="BE49" s="821"/>
      <c r="BG49" s="1022" t="b">
        <v>0</v>
      </c>
      <c r="BH49" s="1022" t="b">
        <v>0</v>
      </c>
      <c r="BK49" s="920" t="str">
        <f>IF(Osobne_udaje!$C$7="nie(poistené je iba dieťa/deti)","",IF(OR(AND(BG49=FALSE,BH49=FALSE),),"Potrebné uviesť ÁNO alebo NIE!",IF(OR(AND(BG49=TRUE,BH49=TRUE),AND(BI49=TRUE,BJ49=TRUE)),"Potrebné uviesť iba jedno z ÁNO alebo NIE!","")))</f>
        <v>Potrebné uviesť ÁNO alebo NIE!</v>
      </c>
    </row>
    <row r="50" spans="2:88" ht="3" customHeight="1">
      <c r="B50" s="873"/>
      <c r="C50" s="868"/>
      <c r="D50" s="868"/>
      <c r="E50" s="868"/>
      <c r="F50" s="870"/>
      <c r="G50" s="870"/>
      <c r="H50" s="870"/>
      <c r="I50" s="870"/>
      <c r="J50" s="870"/>
      <c r="K50" s="870"/>
      <c r="L50" s="870"/>
      <c r="M50" s="870"/>
      <c r="N50" s="870"/>
      <c r="O50" s="870"/>
      <c r="P50" s="870"/>
      <c r="Q50" s="870"/>
      <c r="R50" s="870"/>
      <c r="S50" s="870"/>
      <c r="T50" s="870"/>
      <c r="U50" s="870"/>
      <c r="V50" s="871"/>
      <c r="W50" s="871"/>
      <c r="X50" s="870"/>
      <c r="Y50" s="871"/>
      <c r="Z50" s="871"/>
      <c r="AA50" s="870"/>
      <c r="AB50" s="874"/>
      <c r="AC50" s="874"/>
      <c r="AD50" s="874"/>
      <c r="AE50" s="874"/>
      <c r="AF50" s="874"/>
      <c r="AG50" s="874"/>
      <c r="AH50" s="874"/>
      <c r="AI50" s="874"/>
      <c r="AJ50" s="874"/>
      <c r="AK50" s="874"/>
      <c r="AL50" s="874"/>
      <c r="AM50" s="874"/>
      <c r="AN50" s="874"/>
      <c r="AO50" s="874"/>
      <c r="AP50" s="874"/>
      <c r="AQ50" s="874"/>
      <c r="AR50" s="874"/>
      <c r="AS50" s="874"/>
      <c r="AT50" s="874"/>
      <c r="AU50" s="874"/>
      <c r="AV50" s="874"/>
      <c r="AW50" s="874"/>
      <c r="AX50" s="874"/>
      <c r="AY50" s="874"/>
      <c r="AZ50" s="874"/>
      <c r="BA50" s="874"/>
      <c r="BB50" s="874"/>
      <c r="BC50" s="874"/>
      <c r="BD50" s="874"/>
      <c r="BE50" s="821"/>
    </row>
    <row r="51" spans="2:88" ht="12.75" customHeight="1">
      <c r="B51" s="875"/>
      <c r="C51" s="876"/>
      <c r="D51" s="877" t="s">
        <v>897</v>
      </c>
      <c r="E51" s="877"/>
      <c r="F51" s="877"/>
      <c r="G51" s="877"/>
      <c r="H51" s="877"/>
      <c r="I51" s="877"/>
      <c r="J51" s="877"/>
      <c r="K51" s="877"/>
      <c r="L51" s="877"/>
      <c r="M51" s="877"/>
      <c r="N51" s="877"/>
      <c r="O51" s="877"/>
      <c r="P51" s="877"/>
      <c r="Q51" s="877"/>
      <c r="R51" s="877"/>
      <c r="S51" s="877"/>
      <c r="T51" s="877"/>
      <c r="U51" s="877"/>
      <c r="V51" s="878"/>
      <c r="W51" s="878"/>
      <c r="X51" s="877"/>
      <c r="Y51" s="878"/>
      <c r="Z51" s="878"/>
      <c r="AA51" s="877"/>
      <c r="AB51" s="877"/>
      <c r="AC51" s="877"/>
      <c r="AD51" s="877"/>
      <c r="AE51" s="877"/>
      <c r="AF51" s="877"/>
      <c r="AG51" s="877"/>
      <c r="AH51" s="877"/>
      <c r="AI51" s="877"/>
      <c r="AJ51" s="877"/>
      <c r="AK51" s="877"/>
      <c r="AL51" s="877"/>
      <c r="AM51" s="877"/>
      <c r="AN51" s="877"/>
      <c r="AO51" s="877"/>
      <c r="AP51" s="877"/>
      <c r="AQ51" s="877"/>
      <c r="AR51" s="877"/>
      <c r="AS51" s="877"/>
      <c r="AT51" s="877"/>
      <c r="AU51" s="877"/>
      <c r="AV51" s="877"/>
      <c r="AW51" s="877"/>
      <c r="AX51" s="877"/>
      <c r="AY51" s="877"/>
      <c r="AZ51" s="877"/>
      <c r="BA51" s="877"/>
      <c r="BB51" s="877"/>
      <c r="BC51" s="877"/>
      <c r="BD51" s="877"/>
      <c r="BE51" s="857"/>
      <c r="BH51" s="1024"/>
      <c r="BK51" s="920" t="str">
        <f>IF(AND(BG49=TRUE,D52=""),"Pri kladnej odpovedi treba vypísať aj druhú časť otázky!",IF(AND(BH49=TRUE,D52&lt;&gt;""),"Pri zápornej odpovedi nevypisovať druhú časť otázky!",""))</f>
        <v/>
      </c>
    </row>
    <row r="52" spans="2:88" ht="15.6" customHeight="1">
      <c r="B52" s="873"/>
      <c r="C52" s="870"/>
      <c r="D52" s="1456"/>
      <c r="E52" s="1456"/>
      <c r="F52" s="1456"/>
      <c r="G52" s="1456"/>
      <c r="H52" s="1456"/>
      <c r="I52" s="1456"/>
      <c r="J52" s="1456"/>
      <c r="K52" s="1456"/>
      <c r="L52" s="1456"/>
      <c r="M52" s="1456"/>
      <c r="N52" s="1456"/>
      <c r="O52" s="1456"/>
      <c r="P52" s="1456"/>
      <c r="Q52" s="1456"/>
      <c r="R52" s="1456"/>
      <c r="S52" s="1456"/>
      <c r="T52" s="1456"/>
      <c r="U52" s="1456"/>
      <c r="V52" s="1456"/>
      <c r="W52" s="1456"/>
      <c r="X52" s="1456"/>
      <c r="Y52" s="1456"/>
      <c r="Z52" s="1456"/>
      <c r="AA52" s="1456"/>
      <c r="AB52" s="1456"/>
      <c r="AC52" s="1456"/>
      <c r="AD52" s="1456"/>
      <c r="AE52" s="1456"/>
      <c r="AF52" s="1456"/>
      <c r="AG52" s="1456"/>
      <c r="AH52" s="1456"/>
      <c r="AI52" s="1456"/>
      <c r="AJ52" s="1456"/>
      <c r="AK52" s="1456"/>
      <c r="AL52" s="1456"/>
      <c r="AM52" s="1456"/>
      <c r="AN52" s="1456"/>
      <c r="AO52" s="1456"/>
      <c r="AP52" s="1456"/>
      <c r="AQ52" s="1456"/>
      <c r="AR52" s="1456"/>
      <c r="AS52" s="1456"/>
      <c r="AT52" s="1456"/>
      <c r="AU52" s="1456"/>
      <c r="AV52" s="1456"/>
      <c r="AW52" s="1456"/>
      <c r="AX52" s="1456"/>
      <c r="AY52" s="1456"/>
      <c r="AZ52" s="1456"/>
      <c r="BA52" s="1456"/>
      <c r="BB52" s="1456"/>
      <c r="BC52" s="1456"/>
      <c r="BD52" s="1456"/>
      <c r="BE52" s="826"/>
    </row>
    <row r="53" spans="2:88" ht="13.5" customHeight="1">
      <c r="B53" s="1436" t="s">
        <v>802</v>
      </c>
      <c r="C53" s="1437"/>
      <c r="D53" s="1181" t="s">
        <v>803</v>
      </c>
      <c r="E53" s="876"/>
      <c r="F53" s="877"/>
      <c r="G53" s="877"/>
      <c r="H53" s="877"/>
      <c r="I53" s="877"/>
      <c r="J53" s="877"/>
      <c r="K53" s="877"/>
      <c r="L53" s="877"/>
      <c r="M53" s="877"/>
      <c r="N53" s="877"/>
      <c r="O53" s="877"/>
      <c r="P53" s="877"/>
      <c r="Q53" s="877"/>
      <c r="R53" s="877"/>
      <c r="S53" s="877"/>
      <c r="T53" s="877"/>
      <c r="U53" s="877"/>
      <c r="V53" s="877"/>
      <c r="W53" s="877"/>
      <c r="X53" s="877"/>
      <c r="Y53" s="877"/>
      <c r="Z53" s="877"/>
      <c r="AA53" s="877"/>
      <c r="AB53" s="877"/>
      <c r="AC53" s="877"/>
      <c r="AD53" s="877"/>
      <c r="AE53" s="877"/>
      <c r="AF53" s="877"/>
      <c r="AG53" s="879"/>
      <c r="AH53" s="880"/>
      <c r="AI53" s="879" t="s">
        <v>804</v>
      </c>
      <c r="AJ53" s="877"/>
      <c r="AK53" s="877"/>
      <c r="AL53" s="877"/>
      <c r="AM53" s="877"/>
      <c r="AN53" s="877"/>
      <c r="AO53" s="877"/>
      <c r="AP53" s="877"/>
      <c r="AQ53" s="877"/>
      <c r="AR53" s="877"/>
      <c r="AS53" s="877"/>
      <c r="AT53" s="877"/>
      <c r="AU53" s="877"/>
      <c r="AV53" s="877"/>
      <c r="AW53" s="877"/>
      <c r="AX53" s="877"/>
      <c r="AY53" s="877"/>
      <c r="AZ53" s="877"/>
      <c r="BA53" s="877"/>
      <c r="BB53" s="877"/>
      <c r="BC53" s="877"/>
      <c r="BD53" s="877"/>
      <c r="BE53" s="821"/>
      <c r="BH53" s="1025"/>
      <c r="BI53" s="1026"/>
      <c r="BJ53" s="1026"/>
      <c r="BK53" s="874"/>
      <c r="BL53" s="824"/>
      <c r="BM53" s="824"/>
      <c r="BN53" s="824"/>
      <c r="BO53" s="824"/>
      <c r="BP53" s="824"/>
      <c r="BQ53" s="824"/>
      <c r="BR53" s="824"/>
      <c r="BS53" s="824"/>
      <c r="BT53" s="824"/>
      <c r="BU53" s="824"/>
      <c r="BV53" s="824"/>
      <c r="BW53" s="824"/>
      <c r="BX53" s="824"/>
      <c r="BY53" s="824"/>
      <c r="BZ53" s="824"/>
      <c r="CA53" s="824"/>
      <c r="CB53" s="824"/>
      <c r="CC53" s="824"/>
      <c r="CD53" s="824"/>
      <c r="CE53" s="824"/>
      <c r="CF53" s="824"/>
      <c r="CG53" s="824"/>
      <c r="CH53" s="824"/>
      <c r="CI53" s="824"/>
      <c r="CJ53" s="824"/>
    </row>
    <row r="54" spans="2:88" ht="12.75" customHeight="1">
      <c r="B54" s="873"/>
      <c r="C54" s="881"/>
      <c r="D54" s="882" t="s">
        <v>883</v>
      </c>
      <c r="E54" s="870"/>
      <c r="F54" s="870"/>
      <c r="G54" s="870"/>
      <c r="H54" s="870"/>
      <c r="I54" s="870"/>
      <c r="J54" s="870"/>
      <c r="K54" s="870"/>
      <c r="L54" s="870"/>
      <c r="M54" s="870"/>
      <c r="N54" s="870"/>
      <c r="O54" s="870"/>
      <c r="P54" s="870"/>
      <c r="Q54" s="870"/>
      <c r="R54" s="870"/>
      <c r="S54" s="870"/>
      <c r="T54" s="870"/>
      <c r="U54" s="870"/>
      <c r="V54" s="870"/>
      <c r="W54" s="870"/>
      <c r="X54" s="870"/>
      <c r="Y54" s="870"/>
      <c r="Z54" s="870"/>
      <c r="AA54" s="870"/>
      <c r="AB54" s="870"/>
      <c r="AC54" s="870"/>
      <c r="AD54" s="870"/>
      <c r="AE54" s="870"/>
      <c r="AF54" s="870"/>
      <c r="AG54" s="883"/>
      <c r="AH54" s="884"/>
      <c r="AI54" s="1438"/>
      <c r="AJ54" s="1439"/>
      <c r="AK54" s="1439"/>
      <c r="AL54" s="1439"/>
      <c r="AM54" s="1439"/>
      <c r="AN54" s="1439"/>
      <c r="AO54" s="1439"/>
      <c r="AP54" s="1439"/>
      <c r="AQ54" s="1439"/>
      <c r="AR54" s="1439"/>
      <c r="AS54" s="1439"/>
      <c r="AT54" s="1439"/>
      <c r="AU54" s="1439"/>
      <c r="AV54" s="1439"/>
      <c r="AW54" s="1439"/>
      <c r="AX54" s="1439"/>
      <c r="AY54" s="1439"/>
      <c r="AZ54" s="1439"/>
      <c r="BA54" s="1439"/>
      <c r="BB54" s="1439"/>
      <c r="BC54" s="1439"/>
      <c r="BD54" s="1439"/>
      <c r="BE54" s="821"/>
      <c r="BH54" s="1026"/>
      <c r="BI54" s="1026"/>
      <c r="BJ54" s="1026"/>
      <c r="BK54" s="1030" t="str">
        <f>IF(Osobne_udaje!$C$7="nie(poistené je iba dieťa/deti)","",IF(AND(BG55=FALSE,BH55=FALSE),"Potrebné uviesť ÁNO alebo NIE!",IF(AND(BG55=TRUE,BH55=TRUE),"Potrebné uviesť iba jedno z ÁNO alebo NIE!",IF(AND(BG55=TRUE,AI54=""),"Pri kladnej odpovedi treba vypísať aj druhú časť otázky!",IF(AND(BH55=TRUE,AI54&lt;&gt;""),"Pri zápornej odpovedi nevypisovať druhú časť otázky!","")))))</f>
        <v>Potrebné uviesť ÁNO alebo NIE!</v>
      </c>
      <c r="BL54" s="824"/>
      <c r="BM54" s="824"/>
      <c r="BN54" s="824"/>
      <c r="BO54" s="824"/>
      <c r="BP54" s="824"/>
      <c r="BQ54" s="824"/>
      <c r="BR54" s="824"/>
      <c r="BS54" s="824"/>
      <c r="BT54" s="824"/>
      <c r="BU54" s="824"/>
      <c r="BV54" s="824"/>
      <c r="BW54" s="824"/>
      <c r="BX54" s="824"/>
      <c r="BY54" s="824"/>
      <c r="BZ54" s="824"/>
      <c r="CA54" s="824"/>
      <c r="CB54" s="824"/>
      <c r="CC54" s="824"/>
      <c r="CD54" s="824"/>
      <c r="CE54" s="824"/>
      <c r="CF54" s="824"/>
      <c r="CG54" s="824"/>
      <c r="CH54" s="824"/>
      <c r="CI54" s="824"/>
      <c r="CJ54" s="824"/>
    </row>
    <row r="55" spans="2:88" ht="14.4">
      <c r="B55" s="873"/>
      <c r="C55" s="870"/>
      <c r="D55" s="870"/>
      <c r="E55" s="870"/>
      <c r="F55" s="870"/>
      <c r="G55" s="870"/>
      <c r="H55" s="870"/>
      <c r="I55" s="870"/>
      <c r="J55" s="870"/>
      <c r="K55" s="870"/>
      <c r="L55" s="870"/>
      <c r="M55" s="870"/>
      <c r="N55" s="870"/>
      <c r="O55" s="870"/>
      <c r="P55" s="871" t="s">
        <v>709</v>
      </c>
      <c r="Q55" s="870"/>
      <c r="R55" s="870"/>
      <c r="S55" s="870"/>
      <c r="T55" s="870"/>
      <c r="U55" s="870"/>
      <c r="V55" s="869"/>
      <c r="W55" s="871" t="s">
        <v>688</v>
      </c>
      <c r="X55" s="870"/>
      <c r="Y55" s="870"/>
      <c r="Z55" s="870"/>
      <c r="AA55" s="870"/>
      <c r="AB55" s="870"/>
      <c r="AC55" s="870"/>
      <c r="AD55" s="870"/>
      <c r="AE55" s="870"/>
      <c r="AF55" s="870"/>
      <c r="AG55" s="870"/>
      <c r="AH55" s="884"/>
      <c r="AI55" s="1438"/>
      <c r="AJ55" s="1439"/>
      <c r="AK55" s="1439"/>
      <c r="AL55" s="1439"/>
      <c r="AM55" s="1439"/>
      <c r="AN55" s="1439"/>
      <c r="AO55" s="1439"/>
      <c r="AP55" s="1439"/>
      <c r="AQ55" s="1439"/>
      <c r="AR55" s="1439"/>
      <c r="AS55" s="1439"/>
      <c r="AT55" s="1439"/>
      <c r="AU55" s="1439"/>
      <c r="AV55" s="1439"/>
      <c r="AW55" s="1439"/>
      <c r="AX55" s="1439"/>
      <c r="AY55" s="1439"/>
      <c r="AZ55" s="1439"/>
      <c r="BA55" s="1439"/>
      <c r="BB55" s="1439"/>
      <c r="BC55" s="1439"/>
      <c r="BD55" s="1439"/>
      <c r="BE55" s="821"/>
      <c r="BG55" s="1022" t="b">
        <v>0</v>
      </c>
      <c r="BH55" s="1027" t="b">
        <v>0</v>
      </c>
      <c r="BI55" s="1026"/>
      <c r="BJ55" s="1026"/>
      <c r="BK55" s="874"/>
      <c r="BL55" s="824"/>
      <c r="BM55" s="824"/>
      <c r="BN55" s="824"/>
      <c r="BO55" s="824"/>
      <c r="BP55" s="824"/>
      <c r="BQ55" s="824"/>
      <c r="BR55" s="824"/>
      <c r="BS55" s="824"/>
      <c r="BT55" s="824"/>
      <c r="BU55" s="824"/>
      <c r="BV55" s="824"/>
      <c r="BW55" s="824"/>
      <c r="BX55" s="824"/>
      <c r="BY55" s="824"/>
      <c r="BZ55" s="824"/>
      <c r="CA55" s="824"/>
      <c r="CB55" s="824"/>
      <c r="CC55" s="824"/>
      <c r="CD55" s="824"/>
      <c r="CE55" s="824"/>
      <c r="CF55" s="824"/>
      <c r="CG55" s="824"/>
      <c r="CH55" s="824"/>
      <c r="CI55" s="824"/>
      <c r="CJ55" s="824"/>
    </row>
    <row r="56" spans="2:88" ht="3" customHeight="1">
      <c r="B56" s="873"/>
      <c r="C56" s="870"/>
      <c r="D56" s="870"/>
      <c r="E56" s="870"/>
      <c r="F56" s="870"/>
      <c r="G56" s="870"/>
      <c r="H56" s="870"/>
      <c r="I56" s="870"/>
      <c r="J56" s="870"/>
      <c r="K56" s="870"/>
      <c r="L56" s="870"/>
      <c r="M56" s="870"/>
      <c r="N56" s="870"/>
      <c r="O56" s="870"/>
      <c r="P56" s="870"/>
      <c r="Q56" s="870"/>
      <c r="R56" s="870"/>
      <c r="S56" s="870"/>
      <c r="T56" s="870"/>
      <c r="U56" s="870"/>
      <c r="V56" s="870"/>
      <c r="W56" s="870"/>
      <c r="X56" s="870"/>
      <c r="Y56" s="870"/>
      <c r="Z56" s="870"/>
      <c r="AA56" s="870"/>
      <c r="AB56" s="870"/>
      <c r="AC56" s="870"/>
      <c r="AD56" s="870"/>
      <c r="AE56" s="870"/>
      <c r="AF56" s="870"/>
      <c r="AG56" s="885"/>
      <c r="AH56" s="886"/>
      <c r="AI56" s="1438"/>
      <c r="AJ56" s="1439"/>
      <c r="AK56" s="1439"/>
      <c r="AL56" s="1439"/>
      <c r="AM56" s="1439"/>
      <c r="AN56" s="1439"/>
      <c r="AO56" s="1439"/>
      <c r="AP56" s="1439"/>
      <c r="AQ56" s="1439"/>
      <c r="AR56" s="1439"/>
      <c r="AS56" s="1439"/>
      <c r="AT56" s="1439"/>
      <c r="AU56" s="1439"/>
      <c r="AV56" s="1439"/>
      <c r="AW56" s="1439"/>
      <c r="AX56" s="1439"/>
      <c r="AY56" s="1439"/>
      <c r="AZ56" s="1439"/>
      <c r="BA56" s="1439"/>
      <c r="BB56" s="1439"/>
      <c r="BC56" s="1439"/>
      <c r="BD56" s="1439"/>
      <c r="BE56" s="821"/>
    </row>
    <row r="57" spans="2:88" ht="3" customHeight="1">
      <c r="B57" s="875"/>
      <c r="C57" s="877"/>
      <c r="D57" s="877"/>
      <c r="E57" s="877"/>
      <c r="F57" s="877"/>
      <c r="G57" s="877"/>
      <c r="H57" s="877"/>
      <c r="I57" s="877"/>
      <c r="J57" s="877"/>
      <c r="K57" s="877"/>
      <c r="L57" s="877"/>
      <c r="M57" s="877"/>
      <c r="N57" s="877"/>
      <c r="O57" s="877"/>
      <c r="P57" s="877"/>
      <c r="Q57" s="877"/>
      <c r="R57" s="877"/>
      <c r="S57" s="877"/>
      <c r="T57" s="877"/>
      <c r="U57" s="877"/>
      <c r="V57" s="877"/>
      <c r="W57" s="877"/>
      <c r="X57" s="877"/>
      <c r="Y57" s="877"/>
      <c r="Z57" s="877"/>
      <c r="AA57" s="877"/>
      <c r="AB57" s="877"/>
      <c r="AC57" s="877"/>
      <c r="AD57" s="877"/>
      <c r="AE57" s="877"/>
      <c r="AF57" s="877"/>
      <c r="AG57" s="870"/>
      <c r="AH57" s="884"/>
      <c r="AI57" s="1438"/>
      <c r="AJ57" s="1439"/>
      <c r="AK57" s="1439"/>
      <c r="AL57" s="1439"/>
      <c r="AM57" s="1439"/>
      <c r="AN57" s="1439"/>
      <c r="AO57" s="1439"/>
      <c r="AP57" s="1439"/>
      <c r="AQ57" s="1439"/>
      <c r="AR57" s="1439"/>
      <c r="AS57" s="1439"/>
      <c r="AT57" s="1439"/>
      <c r="AU57" s="1439"/>
      <c r="AV57" s="1439"/>
      <c r="AW57" s="1439"/>
      <c r="AX57" s="1439"/>
      <c r="AY57" s="1439"/>
      <c r="AZ57" s="1439"/>
      <c r="BA57" s="1439"/>
      <c r="BB57" s="1439"/>
      <c r="BC57" s="1439"/>
      <c r="BD57" s="1439"/>
      <c r="BE57" s="821"/>
    </row>
    <row r="58" spans="2:88" ht="14.4">
      <c r="B58" s="1433" t="s">
        <v>805</v>
      </c>
      <c r="C58" s="1434"/>
      <c r="D58" s="868" t="s">
        <v>884</v>
      </c>
      <c r="E58" s="870"/>
      <c r="F58" s="870"/>
      <c r="G58" s="870"/>
      <c r="H58" s="870"/>
      <c r="I58" s="870"/>
      <c r="J58" s="870"/>
      <c r="K58" s="870"/>
      <c r="L58" s="870"/>
      <c r="M58" s="870"/>
      <c r="N58" s="870"/>
      <c r="O58" s="870"/>
      <c r="P58" s="871" t="s">
        <v>806</v>
      </c>
      <c r="Q58" s="870"/>
      <c r="R58" s="870"/>
      <c r="S58" s="870"/>
      <c r="T58" s="870"/>
      <c r="U58" s="870"/>
      <c r="V58" s="870"/>
      <c r="W58" s="871" t="s">
        <v>807</v>
      </c>
      <c r="X58" s="870"/>
      <c r="Y58" s="870"/>
      <c r="Z58" s="870"/>
      <c r="AA58" s="870"/>
      <c r="AB58" s="870"/>
      <c r="AC58" s="870"/>
      <c r="AD58" s="870"/>
      <c r="AE58" s="870"/>
      <c r="AF58" s="870"/>
      <c r="AG58" s="870"/>
      <c r="AH58" s="884"/>
      <c r="AI58" s="1438"/>
      <c r="AJ58" s="1439"/>
      <c r="AK58" s="1439"/>
      <c r="AL58" s="1439"/>
      <c r="AM58" s="1439"/>
      <c r="AN58" s="1439"/>
      <c r="AO58" s="1439"/>
      <c r="AP58" s="1439"/>
      <c r="AQ58" s="1439"/>
      <c r="AR58" s="1439"/>
      <c r="AS58" s="1439"/>
      <c r="AT58" s="1439"/>
      <c r="AU58" s="1439"/>
      <c r="AV58" s="1439"/>
      <c r="AW58" s="1439"/>
      <c r="AX58" s="1439"/>
      <c r="AY58" s="1439"/>
      <c r="AZ58" s="1439"/>
      <c r="BA58" s="1439"/>
      <c r="BB58" s="1439"/>
      <c r="BC58" s="1439"/>
      <c r="BD58" s="1439"/>
      <c r="BE58" s="821"/>
      <c r="BG58" s="1022" t="b">
        <v>0</v>
      </c>
      <c r="BH58" s="1022" t="b">
        <v>0</v>
      </c>
      <c r="BK58" s="920" t="str">
        <f>IF(Osobne_udaje!$C$7="nie(poistené je iba dieťa/deti)","",IF(AND(BG58=FALSE,BH58=FALSE),"Potrebné uviesť ÁNO alebo NIE!",IF(AND(BG58=TRUE,BH58=TRUE),"Potrebné uviesť iba jedno z ÁNO alebo NIE!","")))</f>
        <v>Potrebné uviesť ÁNO alebo NIE!</v>
      </c>
    </row>
    <row r="59" spans="2:88" ht="3" customHeight="1">
      <c r="B59" s="873"/>
      <c r="C59" s="870"/>
      <c r="D59" s="870"/>
      <c r="E59" s="870"/>
      <c r="F59" s="870"/>
      <c r="G59" s="870"/>
      <c r="H59" s="870"/>
      <c r="I59" s="870"/>
      <c r="J59" s="870"/>
      <c r="K59" s="870"/>
      <c r="L59" s="870"/>
      <c r="M59" s="870"/>
      <c r="N59" s="870"/>
      <c r="O59" s="870"/>
      <c r="P59" s="870"/>
      <c r="Q59" s="870"/>
      <c r="R59" s="870"/>
      <c r="S59" s="870"/>
      <c r="T59" s="870"/>
      <c r="U59" s="870"/>
      <c r="V59" s="870"/>
      <c r="W59" s="870"/>
      <c r="X59" s="870"/>
      <c r="Y59" s="870"/>
      <c r="Z59" s="870"/>
      <c r="AA59" s="870"/>
      <c r="AB59" s="870"/>
      <c r="AC59" s="870"/>
      <c r="AD59" s="870"/>
      <c r="AE59" s="870"/>
      <c r="AF59" s="870"/>
      <c r="AG59" s="885"/>
      <c r="AH59" s="886"/>
      <c r="AI59" s="870"/>
      <c r="AJ59" s="870"/>
      <c r="AK59" s="870"/>
      <c r="AL59" s="870"/>
      <c r="AM59" s="870"/>
      <c r="AN59" s="870"/>
      <c r="AO59" s="870"/>
      <c r="AP59" s="870"/>
      <c r="AQ59" s="870"/>
      <c r="AR59" s="870"/>
      <c r="AS59" s="870"/>
      <c r="AT59" s="870"/>
      <c r="AU59" s="870"/>
      <c r="AV59" s="870"/>
      <c r="AW59" s="870"/>
      <c r="AX59" s="870"/>
      <c r="AY59" s="870"/>
      <c r="AZ59" s="870"/>
      <c r="BA59" s="870"/>
      <c r="BB59" s="870"/>
      <c r="BC59" s="870"/>
      <c r="BD59" s="870"/>
      <c r="BE59" s="826"/>
    </row>
    <row r="60" spans="2:88" ht="14.4">
      <c r="B60" s="1436" t="s">
        <v>808</v>
      </c>
      <c r="C60" s="1437"/>
      <c r="D60" s="1443" t="s">
        <v>835</v>
      </c>
      <c r="E60" s="1443"/>
      <c r="F60" s="1443"/>
      <c r="G60" s="1443"/>
      <c r="H60" s="1443"/>
      <c r="I60" s="1443"/>
      <c r="J60" s="1443"/>
      <c r="K60" s="1443"/>
      <c r="L60" s="1443"/>
      <c r="M60" s="1443"/>
      <c r="N60" s="1443"/>
      <c r="O60" s="1443"/>
      <c r="P60" s="1443"/>
      <c r="Q60" s="1443"/>
      <c r="R60" s="1443"/>
      <c r="S60" s="1443"/>
      <c r="T60" s="1443"/>
      <c r="U60" s="1443"/>
      <c r="V60" s="1443"/>
      <c r="W60" s="1443"/>
      <c r="X60" s="1443"/>
      <c r="Y60" s="1443"/>
      <c r="Z60" s="1443"/>
      <c r="AA60" s="1443"/>
      <c r="AB60" s="1443"/>
      <c r="AC60" s="1443"/>
      <c r="AD60" s="1443"/>
      <c r="AE60" s="1443"/>
      <c r="AF60" s="1443"/>
      <c r="AG60" s="1443"/>
      <c r="AH60" s="1443"/>
      <c r="AI60" s="1443"/>
      <c r="AJ60" s="1443"/>
      <c r="AK60" s="1443"/>
      <c r="AL60" s="1443"/>
      <c r="AM60" s="1443"/>
      <c r="AN60" s="1443"/>
      <c r="AO60" s="1443"/>
      <c r="AP60" s="1443"/>
      <c r="AQ60" s="1443"/>
      <c r="AR60" s="1443"/>
      <c r="AS60" s="1443"/>
      <c r="AT60" s="1443"/>
      <c r="AU60" s="1443"/>
      <c r="AV60" s="1443"/>
      <c r="AW60" s="1443"/>
      <c r="AX60" s="1443"/>
      <c r="AY60" s="1443"/>
      <c r="AZ60" s="1443"/>
      <c r="BA60" s="1443"/>
      <c r="BB60" s="1443"/>
      <c r="BC60" s="1443"/>
      <c r="BD60" s="1443"/>
      <c r="BE60" s="821"/>
    </row>
    <row r="61" spans="2:88" ht="12.75" customHeight="1">
      <c r="B61" s="873"/>
      <c r="C61" s="870"/>
      <c r="D61" s="870" t="s">
        <v>885</v>
      </c>
      <c r="E61" s="870"/>
      <c r="F61" s="870"/>
      <c r="G61" s="870"/>
      <c r="H61" s="870"/>
      <c r="I61" s="870"/>
      <c r="J61" s="870"/>
      <c r="K61" s="870"/>
      <c r="L61" s="870"/>
      <c r="M61" s="870"/>
      <c r="N61" s="870"/>
      <c r="O61" s="870"/>
      <c r="P61" s="870"/>
      <c r="Q61" s="870"/>
      <c r="R61" s="870"/>
      <c r="S61" s="870"/>
      <c r="T61" s="870"/>
      <c r="U61" s="870"/>
      <c r="V61" s="870"/>
      <c r="W61" s="870"/>
      <c r="X61" s="870"/>
      <c r="Y61" s="870"/>
      <c r="Z61" s="870"/>
      <c r="AA61" s="870"/>
      <c r="AB61" s="870"/>
      <c r="AC61" s="870"/>
      <c r="AD61" s="870"/>
      <c r="AE61" s="870"/>
      <c r="AF61" s="870"/>
      <c r="AG61" s="870"/>
      <c r="AH61" s="870"/>
      <c r="AI61" s="870"/>
      <c r="AJ61" s="870"/>
      <c r="AK61" s="870"/>
      <c r="AL61" s="870"/>
      <c r="AM61" s="870"/>
      <c r="AN61" s="870"/>
      <c r="AO61" s="870"/>
      <c r="AP61" s="870"/>
      <c r="AQ61" s="870" t="s">
        <v>709</v>
      </c>
      <c r="AR61" s="871"/>
      <c r="AS61" s="870"/>
      <c r="AT61" s="870"/>
      <c r="AU61" s="871" t="s">
        <v>688</v>
      </c>
      <c r="AV61" s="870"/>
      <c r="AW61" s="870"/>
      <c r="AX61" s="870"/>
      <c r="AY61" s="870"/>
      <c r="AZ61" s="870"/>
      <c r="BA61" s="870"/>
      <c r="BB61" s="870"/>
      <c r="BC61" s="870"/>
      <c r="BD61" s="870"/>
      <c r="BE61" s="821"/>
      <c r="BG61" s="1022" t="b">
        <v>0</v>
      </c>
      <c r="BH61" s="1022" t="b">
        <v>0</v>
      </c>
      <c r="BK61" s="921" t="str">
        <f>IF(Osobne_udaje!$C$7="nie(poistené je iba dieťa/deti)","",IF(AND(BG61=FALSE,BH61=FALSE),"Potrebné uviesť ÁNO alebo NIE!",IF(AND(BG61=TRUE,BH61=TRUE),"Potrebné uviesť iba jedno z ÁNO alebo NIE!",IF(AND(BG61=TRUE,D64=""),"Pri kladnej odpovedi treba vypísať aj druhú časť otázky!",IF(AND(BH61=TRUE,D64&lt;&gt;""),"Pri zápornej odpovedi nevypisovať druhú časť otázky!","")))))</f>
        <v>Potrebné uviesť ÁNO alebo NIE!</v>
      </c>
    </row>
    <row r="62" spans="2:88" ht="14.4">
      <c r="B62" s="873"/>
      <c r="C62" s="881"/>
      <c r="D62" s="881" t="s">
        <v>809</v>
      </c>
      <c r="E62" s="870"/>
      <c r="F62" s="870"/>
      <c r="G62" s="870"/>
      <c r="H62" s="870"/>
      <c r="I62" s="870"/>
      <c r="J62" s="870"/>
      <c r="K62" s="870"/>
      <c r="L62" s="870"/>
      <c r="M62" s="870"/>
      <c r="N62" s="870"/>
      <c r="O62" s="870"/>
      <c r="P62" s="870"/>
      <c r="Q62" s="870"/>
      <c r="R62" s="870"/>
      <c r="S62" s="870"/>
      <c r="T62" s="870"/>
      <c r="U62" s="870"/>
      <c r="V62" s="870"/>
      <c r="W62" s="870"/>
      <c r="X62" s="870"/>
      <c r="Y62" s="870"/>
      <c r="Z62" s="870"/>
      <c r="AA62" s="870"/>
      <c r="AB62" s="870"/>
      <c r="AC62" s="870"/>
      <c r="AD62" s="870"/>
      <c r="AE62" s="870"/>
      <c r="AF62" s="870"/>
      <c r="AG62" s="870"/>
      <c r="AH62" s="870"/>
      <c r="AI62" s="870"/>
      <c r="AJ62" s="870"/>
      <c r="AK62" s="870"/>
      <c r="AL62" s="870"/>
      <c r="AM62" s="870"/>
      <c r="AN62" s="870"/>
      <c r="AO62" s="870"/>
      <c r="AP62" s="870"/>
      <c r="AQ62" s="870"/>
      <c r="AR62" s="870"/>
      <c r="AS62" s="870"/>
      <c r="AT62" s="870"/>
      <c r="AU62" s="870"/>
      <c r="AV62" s="870"/>
      <c r="AW62" s="870"/>
      <c r="AX62" s="870"/>
      <c r="AY62" s="870"/>
      <c r="AZ62" s="870"/>
      <c r="BA62" s="870"/>
      <c r="BB62" s="870"/>
      <c r="BC62" s="870"/>
      <c r="BD62" s="870"/>
      <c r="BE62" s="821"/>
    </row>
    <row r="63" spans="2:88" ht="14.4" customHeight="1">
      <c r="B63" s="887"/>
      <c r="C63" s="888"/>
      <c r="D63" s="889" t="s">
        <v>810</v>
      </c>
      <c r="E63" s="889"/>
      <c r="F63" s="889"/>
      <c r="G63" s="889"/>
      <c r="H63" s="889"/>
      <c r="I63" s="889"/>
      <c r="J63" s="890"/>
      <c r="K63" s="889" t="s">
        <v>811</v>
      </c>
      <c r="L63" s="889"/>
      <c r="M63" s="889"/>
      <c r="N63" s="889"/>
      <c r="O63" s="889"/>
      <c r="P63" s="889"/>
      <c r="Q63" s="889"/>
      <c r="R63" s="889"/>
      <c r="S63" s="889"/>
      <c r="T63" s="889"/>
      <c r="U63" s="889"/>
      <c r="V63" s="889"/>
      <c r="W63" s="889"/>
      <c r="X63" s="889"/>
      <c r="Y63" s="889"/>
      <c r="Z63" s="889"/>
      <c r="AA63" s="889"/>
      <c r="AB63" s="889"/>
      <c r="AC63" s="891" t="s">
        <v>812</v>
      </c>
      <c r="AD63" s="889"/>
      <c r="AE63" s="889"/>
      <c r="AF63" s="889"/>
      <c r="AG63" s="889"/>
      <c r="AH63" s="889"/>
      <c r="AI63" s="889"/>
      <c r="AJ63" s="889"/>
      <c r="AK63" s="889"/>
      <c r="AL63" s="889"/>
      <c r="AM63" s="889"/>
      <c r="AN63" s="889"/>
      <c r="AO63" s="889"/>
      <c r="AP63" s="889"/>
      <c r="AQ63" s="889"/>
      <c r="AR63" s="889"/>
      <c r="AS63" s="889"/>
      <c r="AT63" s="889"/>
      <c r="AU63" s="889"/>
      <c r="AV63" s="889"/>
      <c r="AW63" s="889"/>
      <c r="AX63" s="889"/>
      <c r="AY63" s="889"/>
      <c r="AZ63" s="889"/>
      <c r="BA63" s="889"/>
      <c r="BB63" s="889"/>
      <c r="BC63" s="890"/>
      <c r="BD63" s="871"/>
      <c r="BE63" s="821"/>
    </row>
    <row r="64" spans="2:88" ht="15" customHeight="1">
      <c r="B64" s="873"/>
      <c r="C64" s="884"/>
      <c r="D64" s="1440"/>
      <c r="E64" s="1441"/>
      <c r="F64" s="1441"/>
      <c r="G64" s="1441"/>
      <c r="H64" s="1441"/>
      <c r="I64" s="1441"/>
      <c r="J64" s="1442"/>
      <c r="K64" s="1440"/>
      <c r="L64" s="1441"/>
      <c r="M64" s="1441"/>
      <c r="N64" s="1441"/>
      <c r="O64" s="1441"/>
      <c r="P64" s="1441"/>
      <c r="Q64" s="1441"/>
      <c r="R64" s="1441"/>
      <c r="S64" s="1441"/>
      <c r="T64" s="1441"/>
      <c r="U64" s="1441"/>
      <c r="V64" s="1441"/>
      <c r="W64" s="1441"/>
      <c r="X64" s="1441"/>
      <c r="Y64" s="1441"/>
      <c r="Z64" s="1441"/>
      <c r="AA64" s="1441"/>
      <c r="AB64" s="1442"/>
      <c r="AC64" s="1440"/>
      <c r="AD64" s="1441"/>
      <c r="AE64" s="1441"/>
      <c r="AF64" s="1441"/>
      <c r="AG64" s="1441"/>
      <c r="AH64" s="1441"/>
      <c r="AI64" s="1441"/>
      <c r="AJ64" s="1441"/>
      <c r="AK64" s="1441"/>
      <c r="AL64" s="1441"/>
      <c r="AM64" s="1441"/>
      <c r="AN64" s="1441"/>
      <c r="AO64" s="1441"/>
      <c r="AP64" s="1441"/>
      <c r="AQ64" s="1441"/>
      <c r="AR64" s="1441"/>
      <c r="AS64" s="1441"/>
      <c r="AT64" s="1441"/>
      <c r="AU64" s="1441"/>
      <c r="AV64" s="1441"/>
      <c r="AW64" s="1441"/>
      <c r="AX64" s="1441"/>
      <c r="AY64" s="1441"/>
      <c r="AZ64" s="1441"/>
      <c r="BA64" s="1441"/>
      <c r="BB64" s="1441"/>
      <c r="BC64" s="1442"/>
      <c r="BD64" s="870"/>
      <c r="BE64" s="821"/>
      <c r="BK64" s="921" t="str">
        <f>IF(AND(BG61=TRUE,OR(D64="",K64="",AC64="")),"Vyplňte aj druhú časť otázky!",IF(AND(BH61=TRUE,OR(D64&lt;&gt;"",K64&lt;&gt;"",AC64&lt;&gt;"")),"Pri zápornej odpovedi nevypisovať druhú časť otázky!",""))</f>
        <v/>
      </c>
    </row>
    <row r="65" spans="2:63" ht="15" customHeight="1">
      <c r="B65" s="873"/>
      <c r="C65" s="884"/>
      <c r="D65" s="1440"/>
      <c r="E65" s="1441"/>
      <c r="F65" s="1441"/>
      <c r="G65" s="1441"/>
      <c r="H65" s="1441"/>
      <c r="I65" s="1441"/>
      <c r="J65" s="1442"/>
      <c r="K65" s="1440"/>
      <c r="L65" s="1441"/>
      <c r="M65" s="1441"/>
      <c r="N65" s="1441"/>
      <c r="O65" s="1441"/>
      <c r="P65" s="1441"/>
      <c r="Q65" s="1441"/>
      <c r="R65" s="1441"/>
      <c r="S65" s="1441"/>
      <c r="T65" s="1441"/>
      <c r="U65" s="1441"/>
      <c r="V65" s="1441"/>
      <c r="W65" s="1441"/>
      <c r="X65" s="1441"/>
      <c r="Y65" s="1441"/>
      <c r="Z65" s="1441"/>
      <c r="AA65" s="1441"/>
      <c r="AB65" s="1442"/>
      <c r="AC65" s="1440"/>
      <c r="AD65" s="1441"/>
      <c r="AE65" s="1441"/>
      <c r="AF65" s="1441"/>
      <c r="AG65" s="1441"/>
      <c r="AH65" s="1441"/>
      <c r="AI65" s="1441"/>
      <c r="AJ65" s="1441"/>
      <c r="AK65" s="1441"/>
      <c r="AL65" s="1441"/>
      <c r="AM65" s="1441"/>
      <c r="AN65" s="1441"/>
      <c r="AO65" s="1441"/>
      <c r="AP65" s="1441"/>
      <c r="AQ65" s="1441"/>
      <c r="AR65" s="1441"/>
      <c r="AS65" s="1441"/>
      <c r="AT65" s="1441"/>
      <c r="AU65" s="1441"/>
      <c r="AV65" s="1441"/>
      <c r="AW65" s="1441"/>
      <c r="AX65" s="1441"/>
      <c r="AY65" s="1441"/>
      <c r="AZ65" s="1441"/>
      <c r="BA65" s="1441"/>
      <c r="BB65" s="1441"/>
      <c r="BC65" s="1442"/>
      <c r="BD65" s="870"/>
      <c r="BE65" s="821"/>
      <c r="BK65" s="920" t="str">
        <f>IF(AND(BH61=TRUE,OR(D65&lt;&gt;"",K65&lt;&gt;"",AC65&lt;&gt;"")),"Pri zápornej odpovedi nevypisovať druhú časť otázky!","")</f>
        <v/>
      </c>
    </row>
    <row r="66" spans="2:63" ht="3" customHeight="1">
      <c r="B66" s="873"/>
      <c r="C66" s="870"/>
      <c r="D66" s="870"/>
      <c r="E66" s="870"/>
      <c r="F66" s="870"/>
      <c r="G66" s="870"/>
      <c r="H66" s="870"/>
      <c r="I66" s="870"/>
      <c r="J66" s="870"/>
      <c r="K66" s="870"/>
      <c r="L66" s="870"/>
      <c r="M66" s="870"/>
      <c r="N66" s="870"/>
      <c r="O66" s="870"/>
      <c r="P66" s="870"/>
      <c r="Q66" s="870"/>
      <c r="R66" s="870"/>
      <c r="S66" s="870"/>
      <c r="T66" s="870"/>
      <c r="U66" s="870"/>
      <c r="V66" s="870"/>
      <c r="W66" s="870"/>
      <c r="X66" s="870"/>
      <c r="Y66" s="870"/>
      <c r="Z66" s="870"/>
      <c r="AA66" s="870"/>
      <c r="AB66" s="870"/>
      <c r="AC66" s="870"/>
      <c r="AD66" s="870"/>
      <c r="AE66" s="870"/>
      <c r="AF66" s="870"/>
      <c r="AG66" s="870"/>
      <c r="AH66" s="870"/>
      <c r="AI66" s="870"/>
      <c r="AJ66" s="870"/>
      <c r="AK66" s="870"/>
      <c r="AL66" s="870"/>
      <c r="AM66" s="870"/>
      <c r="AN66" s="870"/>
      <c r="AO66" s="870"/>
      <c r="AP66" s="870"/>
      <c r="AQ66" s="870"/>
      <c r="AR66" s="870"/>
      <c r="AS66" s="870"/>
      <c r="AT66" s="870"/>
      <c r="AU66" s="870"/>
      <c r="AV66" s="870"/>
      <c r="AW66" s="870"/>
      <c r="AX66" s="870"/>
      <c r="AY66" s="870"/>
      <c r="AZ66" s="870"/>
      <c r="BA66" s="870"/>
      <c r="BB66" s="870"/>
      <c r="BC66" s="870"/>
      <c r="BD66" s="870"/>
      <c r="BE66" s="821"/>
    </row>
    <row r="67" spans="2:63" ht="14.4">
      <c r="B67" s="1436" t="s">
        <v>814</v>
      </c>
      <c r="C67" s="1437"/>
      <c r="D67" s="876" t="s">
        <v>886</v>
      </c>
      <c r="E67" s="877"/>
      <c r="F67" s="877"/>
      <c r="G67" s="877"/>
      <c r="H67" s="877"/>
      <c r="I67" s="877"/>
      <c r="J67" s="877"/>
      <c r="K67" s="877"/>
      <c r="L67" s="877"/>
      <c r="M67" s="877"/>
      <c r="N67" s="877"/>
      <c r="O67" s="877"/>
      <c r="P67" s="877"/>
      <c r="Q67" s="877"/>
      <c r="R67" s="877"/>
      <c r="S67" s="877"/>
      <c r="T67" s="877"/>
      <c r="U67" s="877"/>
      <c r="V67" s="877"/>
      <c r="W67" s="877"/>
      <c r="X67" s="877"/>
      <c r="Y67" s="892" t="s">
        <v>813</v>
      </c>
      <c r="Z67" s="877"/>
      <c r="AA67" s="877"/>
      <c r="AB67" s="877"/>
      <c r="AC67" s="893"/>
      <c r="AD67" s="893"/>
      <c r="AE67" s="893"/>
      <c r="AF67" s="893"/>
      <c r="AG67" s="893"/>
      <c r="AH67" s="893"/>
      <c r="AI67" s="893"/>
      <c r="AJ67" s="893"/>
      <c r="AK67" s="893"/>
      <c r="AL67" s="893"/>
      <c r="AM67" s="893"/>
      <c r="AN67" s="893"/>
      <c r="AO67" s="893"/>
      <c r="AP67" s="893"/>
      <c r="AQ67" s="893"/>
      <c r="AR67" s="893"/>
      <c r="AS67" s="893"/>
      <c r="AT67" s="893"/>
      <c r="AU67" s="893"/>
      <c r="AV67" s="877"/>
      <c r="AW67" s="877"/>
      <c r="AX67" s="877"/>
      <c r="AY67" s="877"/>
      <c r="AZ67" s="877"/>
      <c r="BA67" s="877"/>
      <c r="BB67" s="877"/>
      <c r="BC67" s="877"/>
      <c r="BD67" s="877"/>
      <c r="BE67" s="857"/>
    </row>
    <row r="68" spans="2:63" ht="12.75" customHeight="1">
      <c r="B68" s="894"/>
      <c r="C68" s="868"/>
      <c r="D68" s="870"/>
      <c r="E68" s="870"/>
      <c r="F68" s="870"/>
      <c r="G68" s="870"/>
      <c r="H68" s="870"/>
      <c r="I68" s="870"/>
      <c r="J68" s="870"/>
      <c r="K68" s="870"/>
      <c r="L68" s="870"/>
      <c r="M68" s="870"/>
      <c r="N68" s="870"/>
      <c r="O68" s="870"/>
      <c r="P68" s="896" t="s">
        <v>817</v>
      </c>
      <c r="Q68" s="870"/>
      <c r="R68" s="870"/>
      <c r="S68" s="870"/>
      <c r="T68" s="870"/>
      <c r="U68" s="896" t="s">
        <v>688</v>
      </c>
      <c r="V68" s="895"/>
      <c r="W68" s="896"/>
      <c r="X68" s="897"/>
      <c r="Y68" s="1425"/>
      <c r="Z68" s="1426"/>
      <c r="AA68" s="1426"/>
      <c r="AB68" s="1426"/>
      <c r="AC68" s="1426"/>
      <c r="AD68" s="1426"/>
      <c r="AE68" s="1426"/>
      <c r="AF68" s="1426"/>
      <c r="AG68" s="1426"/>
      <c r="AH68" s="1426"/>
      <c r="AI68" s="1426"/>
      <c r="AJ68" s="1426"/>
      <c r="AK68" s="1426"/>
      <c r="AL68" s="1426"/>
      <c r="AM68" s="1426"/>
      <c r="AN68" s="1426"/>
      <c r="AO68" s="1426"/>
      <c r="AP68" s="1426"/>
      <c r="AQ68" s="1426"/>
      <c r="AR68" s="1426"/>
      <c r="AS68" s="1426"/>
      <c r="AT68" s="1426"/>
      <c r="AU68" s="1426"/>
      <c r="AV68" s="1426"/>
      <c r="AW68" s="1426"/>
      <c r="AX68" s="1426"/>
      <c r="AY68" s="1426"/>
      <c r="AZ68" s="1426"/>
      <c r="BA68" s="1426"/>
      <c r="BB68" s="1426"/>
      <c r="BC68" s="1426"/>
      <c r="BD68" s="1426"/>
      <c r="BE68" s="821"/>
      <c r="BG68" s="1022" t="b">
        <v>0</v>
      </c>
      <c r="BH68" s="1022" t="b">
        <v>0</v>
      </c>
      <c r="BK68" s="921" t="str">
        <f>IF(Osobne_udaje!$C$7="nie(poistené je iba dieťa/deti)","",IF(AND(BG68=FALSE,BH68=FALSE),"Potrebné uviesť ÁNO alebo NIE!",IF(AND(BG68=TRUE,BH68=TRUE),"Potrebné uviesť iba jedno z ÁNO alebo NIE!",IF(AND(BG68=TRUE,Y68=""),"Pri kladnej odpovedi treba vypísať aj druhú časť otázky!",IF(AND(BH68=TRUE,Y68&lt;&gt;""),"Pri zápornej odpovedi nevypisovať druhú časť otázky!","")))))</f>
        <v>Potrebné uviesť ÁNO alebo NIE!</v>
      </c>
    </row>
    <row r="69" spans="2:63" ht="3" customHeight="1">
      <c r="B69" s="902"/>
      <c r="C69" s="903"/>
      <c r="D69" s="885"/>
      <c r="E69" s="885"/>
      <c r="F69" s="885"/>
      <c r="G69" s="885"/>
      <c r="H69" s="885"/>
      <c r="I69" s="885"/>
      <c r="J69" s="885"/>
      <c r="K69" s="885"/>
      <c r="L69" s="885"/>
      <c r="M69" s="885"/>
      <c r="N69" s="885"/>
      <c r="O69" s="885"/>
      <c r="P69" s="904"/>
      <c r="Q69" s="885"/>
      <c r="R69" s="885"/>
      <c r="S69" s="885"/>
      <c r="T69" s="885"/>
      <c r="U69" s="904"/>
      <c r="V69" s="905"/>
      <c r="W69" s="906"/>
      <c r="X69" s="907"/>
      <c r="Y69" s="1427"/>
      <c r="Z69" s="1428"/>
      <c r="AA69" s="1428"/>
      <c r="AB69" s="1428"/>
      <c r="AC69" s="1428"/>
      <c r="AD69" s="1428"/>
      <c r="AE69" s="1428"/>
      <c r="AF69" s="1428"/>
      <c r="AG69" s="1428"/>
      <c r="AH69" s="1428"/>
      <c r="AI69" s="1428"/>
      <c r="AJ69" s="1428"/>
      <c r="AK69" s="1428"/>
      <c r="AL69" s="1428"/>
      <c r="AM69" s="1428"/>
      <c r="AN69" s="1428"/>
      <c r="AO69" s="1428"/>
      <c r="AP69" s="1428"/>
      <c r="AQ69" s="1428"/>
      <c r="AR69" s="1428"/>
      <c r="AS69" s="1428"/>
      <c r="AT69" s="1428"/>
      <c r="AU69" s="1428"/>
      <c r="AV69" s="1428"/>
      <c r="AW69" s="1428"/>
      <c r="AX69" s="1428"/>
      <c r="AY69" s="1428"/>
      <c r="AZ69" s="1428"/>
      <c r="BA69" s="1428"/>
      <c r="BB69" s="1428"/>
      <c r="BC69" s="1428"/>
      <c r="BD69" s="1428"/>
      <c r="BE69" s="826"/>
    </row>
    <row r="70" spans="2:63" ht="14.4">
      <c r="B70" s="1433" t="s">
        <v>815</v>
      </c>
      <c r="C70" s="1434"/>
      <c r="D70" s="868" t="s">
        <v>816</v>
      </c>
      <c r="E70" s="870"/>
      <c r="F70" s="870"/>
      <c r="G70" s="870"/>
      <c r="H70" s="870"/>
      <c r="I70" s="870"/>
      <c r="J70" s="870"/>
      <c r="K70" s="870"/>
      <c r="L70" s="870"/>
      <c r="M70" s="870"/>
      <c r="N70" s="870"/>
      <c r="O70" s="870"/>
      <c r="P70" s="870"/>
      <c r="Q70" s="870"/>
      <c r="R70" s="870"/>
      <c r="S70" s="870"/>
      <c r="T70" s="870"/>
      <c r="U70" s="870"/>
      <c r="V70" s="870"/>
      <c r="W70" s="870"/>
      <c r="X70" s="870"/>
      <c r="Y70" s="1429"/>
      <c r="Z70" s="1430"/>
      <c r="AA70" s="1430"/>
      <c r="AB70" s="1430"/>
      <c r="AC70" s="1430"/>
      <c r="AD70" s="1430"/>
      <c r="AE70" s="1430"/>
      <c r="AF70" s="1430"/>
      <c r="AG70" s="1430"/>
      <c r="AH70" s="1430"/>
      <c r="AI70" s="1430"/>
      <c r="AJ70" s="1430"/>
      <c r="AK70" s="1430"/>
      <c r="AL70" s="1430"/>
      <c r="AM70" s="1430"/>
      <c r="AN70" s="1430"/>
      <c r="AO70" s="1430"/>
      <c r="AP70" s="1430"/>
      <c r="AQ70" s="1430"/>
      <c r="AR70" s="1430"/>
      <c r="AS70" s="1430"/>
      <c r="AT70" s="1430"/>
      <c r="AU70" s="1430"/>
      <c r="AV70" s="1430"/>
      <c r="AW70" s="1430"/>
      <c r="AX70" s="1430"/>
      <c r="AY70" s="1430"/>
      <c r="AZ70" s="1430"/>
      <c r="BA70" s="1430"/>
      <c r="BB70" s="1430"/>
      <c r="BC70" s="1430"/>
      <c r="BD70" s="1430"/>
      <c r="BE70" s="821"/>
      <c r="BK70" s="920" t="str">
        <f>IF(Osobne_udaje!$C$7="nie(poistené je iba dieťa/deti)","",IF(Y70="","Údaj je potrebné vyplniť!",""))</f>
        <v>Údaj je potrebné vyplniť!</v>
      </c>
    </row>
    <row r="71" spans="2:63" ht="14.4">
      <c r="B71" s="873"/>
      <c r="C71" s="871"/>
      <c r="D71" s="871" t="s">
        <v>887</v>
      </c>
      <c r="E71" s="870"/>
      <c r="F71" s="870"/>
      <c r="G71" s="870"/>
      <c r="H71" s="870"/>
      <c r="I71" s="870"/>
      <c r="J71" s="870"/>
      <c r="K71" s="870"/>
      <c r="L71" s="870"/>
      <c r="M71" s="870"/>
      <c r="N71" s="870"/>
      <c r="O71" s="870"/>
      <c r="P71" s="870"/>
      <c r="Q71" s="870"/>
      <c r="R71" s="870"/>
      <c r="S71" s="870"/>
      <c r="T71" s="870"/>
      <c r="U71" s="870"/>
      <c r="V71" s="870"/>
      <c r="W71" s="870"/>
      <c r="X71" s="870"/>
      <c r="Y71" s="1431"/>
      <c r="Z71" s="1432"/>
      <c r="AA71" s="1432"/>
      <c r="AB71" s="1432"/>
      <c r="AC71" s="1432"/>
      <c r="AD71" s="1432"/>
      <c r="AE71" s="1432"/>
      <c r="AF71" s="1432"/>
      <c r="AG71" s="1432"/>
      <c r="AH71" s="1432"/>
      <c r="AI71" s="1432"/>
      <c r="AJ71" s="1432"/>
      <c r="AK71" s="1432"/>
      <c r="AL71" s="1432"/>
      <c r="AM71" s="1432"/>
      <c r="AN71" s="1432"/>
      <c r="AO71" s="1432"/>
      <c r="AP71" s="1432"/>
      <c r="AQ71" s="1432"/>
      <c r="AR71" s="1432"/>
      <c r="AS71" s="1432"/>
      <c r="AT71" s="1432"/>
      <c r="AU71" s="1432"/>
      <c r="AV71" s="1432"/>
      <c r="AW71" s="1432"/>
      <c r="AX71" s="1432"/>
      <c r="AY71" s="1432"/>
      <c r="AZ71" s="1432"/>
      <c r="BA71" s="1432"/>
      <c r="BB71" s="1432"/>
      <c r="BC71" s="1432"/>
      <c r="BD71" s="1432"/>
      <c r="BE71" s="826"/>
    </row>
    <row r="72" spans="2:63" ht="14.4">
      <c r="B72" s="873"/>
      <c r="C72" s="868"/>
      <c r="D72" s="881" t="s">
        <v>888</v>
      </c>
      <c r="E72" s="897"/>
      <c r="F72" s="897"/>
      <c r="G72" s="897"/>
      <c r="H72" s="897"/>
      <c r="I72" s="897"/>
      <c r="J72" s="897"/>
      <c r="K72" s="897"/>
      <c r="L72" s="897"/>
      <c r="M72" s="897"/>
      <c r="N72" s="897"/>
      <c r="O72" s="897"/>
      <c r="P72" s="896" t="s">
        <v>817</v>
      </c>
      <c r="Q72" s="897"/>
      <c r="R72" s="897"/>
      <c r="S72" s="897"/>
      <c r="T72" s="897"/>
      <c r="U72" s="896" t="s">
        <v>688</v>
      </c>
      <c r="V72" s="897"/>
      <c r="W72" s="897"/>
      <c r="X72" s="870"/>
      <c r="Y72" s="883"/>
      <c r="Z72" s="870"/>
      <c r="AA72" s="870"/>
      <c r="AB72" s="922"/>
      <c r="AC72" s="870"/>
      <c r="AD72" s="870"/>
      <c r="AE72" s="870"/>
      <c r="AF72" s="870"/>
      <c r="AG72" s="870"/>
      <c r="AH72" s="870"/>
      <c r="AI72" s="870"/>
      <c r="AJ72" s="870"/>
      <c r="AK72" s="870"/>
      <c r="AL72" s="870"/>
      <c r="AM72" s="870"/>
      <c r="AN72" s="870"/>
      <c r="AO72" s="870"/>
      <c r="AP72" s="870"/>
      <c r="AQ72" s="870"/>
      <c r="AR72" s="870"/>
      <c r="AS72" s="870"/>
      <c r="AT72" s="870"/>
      <c r="AU72" s="870"/>
      <c r="AV72" s="870"/>
      <c r="AW72" s="870"/>
      <c r="AX72" s="870"/>
      <c r="AY72" s="870"/>
      <c r="AZ72" s="870"/>
      <c r="BA72" s="870"/>
      <c r="BB72" s="870"/>
      <c r="BC72" s="870"/>
      <c r="BD72" s="870"/>
      <c r="BE72" s="821"/>
      <c r="BG72" s="1022" t="b">
        <v>0</v>
      </c>
      <c r="BH72" s="1022" t="b">
        <v>0</v>
      </c>
      <c r="BK72" s="920" t="str">
        <f>IF(Osobne_udaje!$C$7="nie(poistené je iba dieťa/deti)","",IF(AND(Y70&lt;&gt;"žiadna",BG72=FALSE,BH72=FALSE),"Potrebné uviesť ÁNO alebo NIE!",IF(OR(AND(Y70="žiadna",BG72=TRUE),AND(Y70="žiadna",BH72=TRUE)),"Druhú časť otázky nie je potrebné vypĺňať!",IF(AND(BG72=TRUE,BH72=TRUE),"Potrebné uviesť iba jedno z ÁNO alebo NIE!",""))))</f>
        <v>Potrebné uviesť ÁNO alebo NIE!</v>
      </c>
    </row>
    <row r="73" spans="2:63" ht="3" customHeight="1">
      <c r="B73" s="908"/>
      <c r="C73" s="903"/>
      <c r="D73" s="909"/>
      <c r="E73" s="907"/>
      <c r="F73" s="907"/>
      <c r="G73" s="907"/>
      <c r="H73" s="907"/>
      <c r="I73" s="907"/>
      <c r="J73" s="907"/>
      <c r="K73" s="907"/>
      <c r="L73" s="907"/>
      <c r="M73" s="907"/>
      <c r="N73" s="907"/>
      <c r="O73" s="907"/>
      <c r="P73" s="906"/>
      <c r="Q73" s="907"/>
      <c r="R73" s="907"/>
      <c r="S73" s="907"/>
      <c r="T73" s="907"/>
      <c r="U73" s="906"/>
      <c r="V73" s="907"/>
      <c r="W73" s="907"/>
      <c r="X73" s="885"/>
      <c r="Y73" s="898"/>
      <c r="Z73" s="885"/>
      <c r="AA73" s="885"/>
      <c r="AB73" s="885"/>
      <c r="AC73" s="885"/>
      <c r="AD73" s="885"/>
      <c r="AE73" s="885"/>
      <c r="AF73" s="885"/>
      <c r="AG73" s="885"/>
      <c r="AH73" s="885"/>
      <c r="AI73" s="885"/>
      <c r="AJ73" s="885"/>
      <c r="AK73" s="885"/>
      <c r="AL73" s="885"/>
      <c r="AM73" s="885"/>
      <c r="AN73" s="885"/>
      <c r="AO73" s="885"/>
      <c r="AP73" s="885"/>
      <c r="AQ73" s="885"/>
      <c r="AR73" s="885"/>
      <c r="AS73" s="885"/>
      <c r="AT73" s="885"/>
      <c r="AU73" s="885"/>
      <c r="AV73" s="885"/>
      <c r="AW73" s="885"/>
      <c r="AX73" s="885"/>
      <c r="AY73" s="885"/>
      <c r="AZ73" s="885"/>
      <c r="BA73" s="885"/>
      <c r="BB73" s="885"/>
      <c r="BC73" s="885"/>
      <c r="BD73" s="885"/>
      <c r="BE73" s="826"/>
    </row>
    <row r="74" spans="2:63" ht="14.4">
      <c r="B74" s="1433" t="s">
        <v>818</v>
      </c>
      <c r="C74" s="1434"/>
      <c r="D74" s="868" t="s">
        <v>819</v>
      </c>
      <c r="E74" s="870"/>
      <c r="F74" s="870"/>
      <c r="G74" s="870"/>
      <c r="H74" s="870"/>
      <c r="I74" s="870"/>
      <c r="J74" s="870"/>
      <c r="K74" s="870"/>
      <c r="L74" s="870"/>
      <c r="M74" s="870"/>
      <c r="N74" s="870"/>
      <c r="O74" s="870"/>
      <c r="P74" s="870"/>
      <c r="Q74" s="870"/>
      <c r="R74" s="870"/>
      <c r="S74" s="870"/>
      <c r="T74" s="870"/>
      <c r="U74" s="870"/>
      <c r="V74" s="870"/>
      <c r="W74" s="870"/>
      <c r="X74" s="870"/>
      <c r="Y74" s="870"/>
      <c r="Z74" s="870"/>
      <c r="AA74" s="870"/>
      <c r="AB74" s="870"/>
      <c r="AC74" s="870"/>
      <c r="AD74" s="870"/>
      <c r="AE74" s="870"/>
      <c r="AF74" s="870"/>
      <c r="AG74" s="870"/>
      <c r="AH74" s="870"/>
      <c r="AI74" s="870"/>
      <c r="AJ74" s="870"/>
      <c r="AK74" s="870"/>
      <c r="AL74" s="870"/>
      <c r="AM74" s="870"/>
      <c r="AN74" s="870"/>
      <c r="AO74" s="870"/>
      <c r="AP74" s="870"/>
      <c r="AQ74" s="870"/>
      <c r="AR74" s="870"/>
      <c r="AS74" s="870"/>
      <c r="AT74" s="870"/>
      <c r="AU74" s="870"/>
      <c r="AV74" s="870"/>
      <c r="AW74" s="870"/>
      <c r="AX74" s="870"/>
      <c r="AY74" s="870"/>
      <c r="AZ74" s="870"/>
      <c r="BA74" s="870"/>
      <c r="BB74" s="870"/>
      <c r="BC74" s="870"/>
      <c r="BD74" s="870"/>
      <c r="BE74" s="821"/>
    </row>
    <row r="75" spans="2:63" ht="15.6" customHeight="1" thickBot="1">
      <c r="B75" s="899"/>
      <c r="C75" s="900"/>
      <c r="D75" s="1424"/>
      <c r="E75" s="1424"/>
      <c r="F75" s="1424"/>
      <c r="G75" s="1424"/>
      <c r="H75" s="1424"/>
      <c r="I75" s="1424"/>
      <c r="J75" s="1424"/>
      <c r="K75" s="1424"/>
      <c r="L75" s="1424"/>
      <c r="M75" s="1424"/>
      <c r="N75" s="1424"/>
      <c r="O75" s="1424"/>
      <c r="P75" s="1424"/>
      <c r="Q75" s="1424"/>
      <c r="R75" s="1424"/>
      <c r="S75" s="1424"/>
      <c r="T75" s="1424"/>
      <c r="U75" s="1424"/>
      <c r="V75" s="1424"/>
      <c r="W75" s="1424"/>
      <c r="X75" s="1424"/>
      <c r="Y75" s="1424"/>
      <c r="Z75" s="1424"/>
      <c r="AA75" s="1424"/>
      <c r="AB75" s="1424"/>
      <c r="AC75" s="1424"/>
      <c r="AD75" s="1424"/>
      <c r="AE75" s="1424"/>
      <c r="AF75" s="1424"/>
      <c r="AG75" s="1424"/>
      <c r="AH75" s="1424"/>
      <c r="AI75" s="1424"/>
      <c r="AJ75" s="1424"/>
      <c r="AK75" s="1424"/>
      <c r="AL75" s="1424"/>
      <c r="AM75" s="1424"/>
      <c r="AN75" s="1424"/>
      <c r="AO75" s="1424"/>
      <c r="AP75" s="1424"/>
      <c r="AQ75" s="1424"/>
      <c r="AR75" s="1424"/>
      <c r="AS75" s="1424"/>
      <c r="AT75" s="1424"/>
      <c r="AU75" s="1424"/>
      <c r="AV75" s="1424"/>
      <c r="AW75" s="1424"/>
      <c r="AX75" s="1424"/>
      <c r="AY75" s="1424"/>
      <c r="AZ75" s="1424"/>
      <c r="BA75" s="1424"/>
      <c r="BB75" s="1424"/>
      <c r="BC75" s="1424"/>
      <c r="BD75" s="1424"/>
      <c r="BE75" s="842"/>
      <c r="BK75" s="921" t="str">
        <f>IF(Osobne_udaje!$C$7="nie(poistené je iba dieťa/deti)","",IF(D75="","Povinný údaj!",""))</f>
        <v>Povinný údaj!</v>
      </c>
    </row>
    <row r="76" spans="2:63" ht="12" customHeight="1">
      <c r="B76" s="775"/>
      <c r="C76" s="775"/>
      <c r="D76" s="775"/>
      <c r="E76" s="775"/>
      <c r="F76" s="775"/>
      <c r="G76" s="775"/>
      <c r="H76" s="775"/>
      <c r="I76" s="775"/>
      <c r="J76" s="775"/>
      <c r="K76" s="775"/>
      <c r="L76" s="775"/>
      <c r="M76" s="775"/>
      <c r="N76" s="775"/>
      <c r="O76" s="775"/>
      <c r="P76" s="775"/>
      <c r="Q76" s="775"/>
      <c r="R76" s="775"/>
      <c r="S76" s="775"/>
      <c r="T76" s="775"/>
      <c r="U76" s="775"/>
      <c r="V76" s="775"/>
      <c r="W76" s="775"/>
      <c r="X76" s="775"/>
      <c r="Y76" s="775"/>
      <c r="Z76" s="775"/>
      <c r="AA76" s="775"/>
      <c r="AB76" s="775"/>
      <c r="AC76" s="775"/>
      <c r="AD76" s="775"/>
      <c r="AE76" s="775"/>
      <c r="AF76" s="775"/>
      <c r="AG76" s="775"/>
      <c r="AH76" s="775"/>
      <c r="AI76" s="775"/>
      <c r="AJ76" s="775"/>
      <c r="AK76" s="775"/>
      <c r="AL76" s="775"/>
      <c r="AM76" s="775"/>
      <c r="AN76" s="775"/>
      <c r="AO76" s="775"/>
      <c r="AP76" s="775"/>
      <c r="AQ76" s="775"/>
      <c r="AR76" s="775"/>
      <c r="AS76" s="775"/>
      <c r="AT76" s="775"/>
      <c r="AU76" s="775"/>
      <c r="AV76" s="775"/>
      <c r="AW76" s="775"/>
      <c r="AX76" s="775"/>
      <c r="AY76" s="775"/>
      <c r="AZ76" s="775"/>
      <c r="BA76" s="775"/>
      <c r="BB76" s="775"/>
      <c r="BC76" s="775"/>
      <c r="BD76" s="775"/>
      <c r="BE76" s="911"/>
      <c r="BK76" s="921"/>
    </row>
    <row r="77" spans="2:63" ht="15.75" customHeight="1">
      <c r="B77" s="775"/>
      <c r="C77" s="775"/>
      <c r="D77" s="775"/>
      <c r="E77" s="775"/>
      <c r="F77" s="775"/>
      <c r="G77" s="775"/>
      <c r="H77" s="775"/>
      <c r="I77" s="775"/>
      <c r="J77" s="775"/>
      <c r="K77" s="775"/>
      <c r="L77" s="775"/>
      <c r="M77" s="775"/>
      <c r="N77" s="775"/>
      <c r="O77" s="775"/>
      <c r="P77" s="775"/>
      <c r="Q77" s="775"/>
      <c r="R77" s="775"/>
      <c r="S77" s="775"/>
      <c r="T77" s="775"/>
      <c r="U77" s="775"/>
      <c r="V77" s="775"/>
      <c r="W77" s="775"/>
      <c r="X77" s="775"/>
      <c r="Y77" s="775"/>
      <c r="Z77" s="775"/>
      <c r="AA77" s="775"/>
      <c r="AB77" s="775"/>
      <c r="AC77" s="775"/>
      <c r="AD77" s="775"/>
      <c r="AE77" s="775"/>
      <c r="AF77" s="775"/>
      <c r="AG77" s="775"/>
      <c r="AH77" s="775"/>
      <c r="AI77" s="775"/>
      <c r="AJ77" s="775"/>
      <c r="AK77" s="775"/>
      <c r="AL77" s="775"/>
      <c r="AM77" s="775"/>
      <c r="AN77" s="775"/>
      <c r="AO77" s="775"/>
      <c r="AP77" s="775"/>
      <c r="AQ77" s="775"/>
      <c r="AR77" s="775"/>
      <c r="AS77" s="775"/>
      <c r="AT77" s="775"/>
      <c r="AU77" s="775"/>
      <c r="AV77" s="775"/>
      <c r="AW77" s="775"/>
      <c r="AX77" s="775"/>
      <c r="AY77" s="775"/>
      <c r="AZ77" s="775"/>
      <c r="BA77" s="775"/>
      <c r="BB77" s="775"/>
      <c r="BC77" s="775"/>
      <c r="BD77" s="843" t="s">
        <v>941</v>
      </c>
      <c r="BE77" s="843"/>
      <c r="BK77" s="921"/>
    </row>
    <row r="78" spans="2:63" ht="15.6" customHeight="1">
      <c r="B78" s="684"/>
      <c r="C78" s="684"/>
      <c r="D78" s="684"/>
      <c r="E78" s="684"/>
      <c r="F78" s="684"/>
      <c r="G78" s="684"/>
      <c r="H78" s="684"/>
      <c r="I78" s="684"/>
      <c r="J78" s="684"/>
      <c r="K78" s="684"/>
      <c r="L78" s="684"/>
      <c r="M78" s="684"/>
      <c r="N78" s="684"/>
      <c r="O78" s="684"/>
      <c r="P78" s="684"/>
      <c r="Q78" s="684"/>
      <c r="R78" s="684"/>
      <c r="S78" s="684"/>
      <c r="T78" s="684"/>
      <c r="U78" s="684"/>
      <c r="V78" s="684"/>
      <c r="W78" s="684"/>
      <c r="X78" s="684"/>
      <c r="Y78" s="684"/>
      <c r="Z78" s="684"/>
      <c r="AA78" s="684"/>
      <c r="AB78" s="684"/>
      <c r="AC78" s="684"/>
      <c r="AD78" s="684"/>
      <c r="AE78" s="684"/>
      <c r="AF78" s="684"/>
      <c r="AG78" s="684"/>
      <c r="AH78" s="684"/>
      <c r="AI78" s="684"/>
      <c r="AJ78" s="684"/>
      <c r="AK78" s="684"/>
      <c r="AL78" s="684"/>
      <c r="AM78" s="684"/>
      <c r="AN78" s="684"/>
      <c r="AO78" s="684"/>
      <c r="AP78" s="684"/>
      <c r="AQ78" s="684"/>
      <c r="AR78" s="684"/>
      <c r="AS78" s="684"/>
      <c r="AT78" s="684"/>
      <c r="AU78" s="684"/>
      <c r="AV78" s="684"/>
      <c r="AW78" s="684"/>
      <c r="AX78" s="684"/>
      <c r="AY78" s="684"/>
      <c r="AZ78" s="684"/>
      <c r="BA78" s="684"/>
      <c r="BB78" s="684"/>
      <c r="BC78" s="684"/>
      <c r="BD78" s="684"/>
      <c r="BE78" s="684"/>
      <c r="BF78" s="684"/>
      <c r="BG78" s="1028"/>
      <c r="BH78" s="1028"/>
      <c r="BI78" s="1028"/>
      <c r="BK78" s="921"/>
    </row>
    <row r="79" spans="2:63" ht="15.6">
      <c r="B79" s="684"/>
      <c r="C79" s="684"/>
      <c r="D79" s="684"/>
      <c r="E79" s="684"/>
      <c r="F79" s="684"/>
      <c r="G79" s="684"/>
      <c r="H79" s="684"/>
      <c r="I79" s="684"/>
      <c r="J79" s="684"/>
      <c r="K79" s="684"/>
      <c r="L79" s="684"/>
      <c r="M79" s="684"/>
      <c r="N79" s="684"/>
      <c r="O79" s="684"/>
      <c r="P79" s="684"/>
      <c r="Q79" s="684"/>
      <c r="R79" s="684"/>
      <c r="S79" s="684"/>
      <c r="T79" s="684"/>
      <c r="U79" s="684"/>
      <c r="V79" s="684"/>
      <c r="W79" s="684"/>
      <c r="X79" s="684"/>
      <c r="Y79" s="684"/>
      <c r="Z79" s="684"/>
      <c r="AA79" s="684"/>
      <c r="AB79" s="684"/>
      <c r="AC79" s="684"/>
      <c r="AD79" s="684"/>
      <c r="AE79" s="684"/>
      <c r="AF79" s="684"/>
      <c r="AG79" s="684"/>
      <c r="AH79" s="684"/>
      <c r="AI79" s="684"/>
      <c r="AJ79" s="684"/>
      <c r="AK79" s="684"/>
      <c r="AL79" s="684"/>
      <c r="AM79" s="684"/>
      <c r="AN79" s="684"/>
      <c r="AO79" s="684"/>
      <c r="AP79" s="684"/>
      <c r="AQ79" s="684"/>
      <c r="AR79" s="684"/>
      <c r="AS79" s="684"/>
      <c r="AT79" s="684"/>
      <c r="AU79" s="684"/>
      <c r="AV79" s="684"/>
      <c r="AW79" s="684"/>
      <c r="AX79" s="684"/>
      <c r="AY79" s="684"/>
      <c r="AZ79" s="684"/>
      <c r="BA79" s="684"/>
      <c r="BB79" s="684"/>
      <c r="BC79" s="684"/>
      <c r="BD79" s="684"/>
      <c r="BE79" s="684"/>
      <c r="BF79" s="684"/>
      <c r="BG79" s="1028"/>
      <c r="BH79" s="1028"/>
      <c r="BI79" s="1028"/>
      <c r="BK79" s="926"/>
    </row>
    <row r="80" spans="2:63">
      <c r="B80" s="684"/>
      <c r="C80" s="684"/>
      <c r="D80" s="684"/>
      <c r="E80" s="684"/>
      <c r="F80" s="684"/>
      <c r="G80" s="684"/>
      <c r="H80" s="684"/>
      <c r="I80" s="684"/>
      <c r="J80" s="684"/>
      <c r="K80" s="684"/>
      <c r="L80" s="684"/>
      <c r="M80" s="684"/>
      <c r="N80" s="684"/>
      <c r="O80" s="684"/>
      <c r="P80" s="684"/>
      <c r="Q80" s="684"/>
      <c r="R80" s="684"/>
      <c r="S80" s="684"/>
      <c r="T80" s="684"/>
      <c r="U80" s="684"/>
      <c r="V80" s="684"/>
      <c r="W80" s="684"/>
      <c r="X80" s="684"/>
      <c r="Y80" s="684"/>
      <c r="Z80" s="684"/>
      <c r="AA80" s="684"/>
      <c r="AB80" s="684"/>
      <c r="AC80" s="684"/>
      <c r="AD80" s="684"/>
      <c r="AE80" s="684"/>
      <c r="AF80" s="684"/>
      <c r="AG80" s="684"/>
      <c r="AH80" s="684"/>
      <c r="AI80" s="684"/>
      <c r="AJ80" s="684"/>
      <c r="AK80" s="684"/>
      <c r="AL80" s="684"/>
      <c r="AM80" s="684"/>
      <c r="AN80" s="684"/>
      <c r="AO80" s="684"/>
      <c r="AP80" s="684"/>
      <c r="AQ80" s="684"/>
      <c r="AR80" s="684"/>
      <c r="AS80" s="684"/>
      <c r="AT80" s="684"/>
      <c r="AU80" s="684"/>
      <c r="AV80" s="684"/>
      <c r="AW80" s="684"/>
      <c r="AX80" s="684"/>
      <c r="AY80" s="684"/>
      <c r="AZ80" s="684"/>
      <c r="BA80" s="684"/>
      <c r="BB80" s="684"/>
      <c r="BC80" s="684"/>
      <c r="BD80" s="684"/>
      <c r="BE80" s="684"/>
      <c r="BF80" s="684"/>
      <c r="BG80" s="1028"/>
      <c r="BH80" s="1028"/>
      <c r="BI80" s="1028"/>
      <c r="BK80" s="920"/>
    </row>
    <row r="81" spans="2:64">
      <c r="B81" s="684"/>
      <c r="C81" s="684"/>
      <c r="D81" s="684"/>
      <c r="E81" s="684"/>
      <c r="F81" s="684"/>
      <c r="G81" s="684"/>
      <c r="H81" s="684"/>
      <c r="I81" s="684"/>
      <c r="J81" s="684"/>
      <c r="K81" s="684"/>
      <c r="L81" s="684"/>
      <c r="M81" s="684"/>
      <c r="N81" s="684"/>
      <c r="O81" s="684"/>
      <c r="P81" s="684"/>
      <c r="Q81" s="684"/>
      <c r="R81" s="684"/>
      <c r="S81" s="684"/>
      <c r="T81" s="684"/>
      <c r="U81" s="684"/>
      <c r="V81" s="684"/>
      <c r="W81" s="684"/>
      <c r="X81" s="684"/>
      <c r="Y81" s="684"/>
      <c r="Z81" s="684"/>
      <c r="AA81" s="684"/>
      <c r="AB81" s="684"/>
      <c r="AC81" s="684"/>
      <c r="AD81" s="684"/>
      <c r="AE81" s="684"/>
      <c r="AF81" s="684"/>
      <c r="AG81" s="684"/>
      <c r="AH81" s="684"/>
      <c r="AI81" s="684"/>
      <c r="AJ81" s="684"/>
      <c r="AK81" s="684"/>
      <c r="AL81" s="684"/>
      <c r="AM81" s="684"/>
      <c r="AN81" s="684"/>
      <c r="AO81" s="684"/>
      <c r="AP81" s="684"/>
      <c r="AQ81" s="684"/>
      <c r="AR81" s="684"/>
      <c r="AS81" s="684"/>
      <c r="AT81" s="684"/>
      <c r="AU81" s="684"/>
      <c r="AV81" s="684"/>
      <c r="AW81" s="684"/>
      <c r="AX81" s="684"/>
      <c r="AY81" s="684"/>
      <c r="AZ81" s="684"/>
      <c r="BA81" s="684"/>
      <c r="BB81" s="684"/>
      <c r="BC81" s="684"/>
      <c r="BD81" s="684"/>
      <c r="BE81" s="684"/>
      <c r="BF81" s="684"/>
      <c r="BG81" s="1028"/>
      <c r="BH81" s="1028"/>
      <c r="BI81" s="1028"/>
      <c r="BK81" s="920"/>
    </row>
    <row r="82" spans="2:64" ht="3" customHeight="1">
      <c r="B82" s="684"/>
      <c r="C82" s="684"/>
      <c r="D82" s="684"/>
      <c r="E82" s="684"/>
      <c r="F82" s="684"/>
      <c r="G82" s="684"/>
      <c r="H82" s="684"/>
      <c r="I82" s="684"/>
      <c r="J82" s="684"/>
      <c r="K82" s="684"/>
      <c r="L82" s="684"/>
      <c r="M82" s="684"/>
      <c r="N82" s="684"/>
      <c r="O82" s="684"/>
      <c r="P82" s="684"/>
      <c r="Q82" s="684"/>
      <c r="R82" s="684"/>
      <c r="S82" s="684"/>
      <c r="T82" s="684"/>
      <c r="U82" s="684"/>
      <c r="V82" s="684"/>
      <c r="W82" s="684"/>
      <c r="X82" s="684"/>
      <c r="Y82" s="684"/>
      <c r="Z82" s="684"/>
      <c r="AA82" s="684"/>
      <c r="AB82" s="684"/>
      <c r="AC82" s="684"/>
      <c r="AD82" s="684"/>
      <c r="AE82" s="684"/>
      <c r="AF82" s="684"/>
      <c r="AG82" s="684"/>
      <c r="AH82" s="684"/>
      <c r="AI82" s="684"/>
      <c r="AJ82" s="684"/>
      <c r="AK82" s="684"/>
      <c r="AL82" s="684"/>
      <c r="AM82" s="684"/>
      <c r="AN82" s="684"/>
      <c r="AO82" s="684"/>
      <c r="AP82" s="684"/>
      <c r="AQ82" s="684"/>
      <c r="AR82" s="684"/>
      <c r="AS82" s="684"/>
      <c r="AT82" s="684"/>
      <c r="AU82" s="684"/>
      <c r="AV82" s="684"/>
      <c r="AW82" s="684"/>
      <c r="AX82" s="684"/>
      <c r="AY82" s="684"/>
      <c r="AZ82" s="684"/>
      <c r="BA82" s="684"/>
      <c r="BB82" s="684"/>
      <c r="BC82" s="684"/>
      <c r="BD82" s="684"/>
      <c r="BE82" s="684"/>
      <c r="BF82" s="684"/>
      <c r="BG82" s="1028"/>
      <c r="BH82" s="1028"/>
      <c r="BI82" s="1028"/>
    </row>
    <row r="83" spans="2:64">
      <c r="B83" s="684"/>
      <c r="C83" s="684"/>
      <c r="D83" s="684"/>
      <c r="E83" s="684"/>
      <c r="F83" s="684"/>
      <c r="G83" s="684"/>
      <c r="H83" s="684"/>
      <c r="I83" s="684"/>
      <c r="J83" s="684"/>
      <c r="K83" s="684"/>
      <c r="L83" s="684"/>
      <c r="M83" s="684"/>
      <c r="N83" s="684"/>
      <c r="O83" s="684"/>
      <c r="P83" s="684"/>
      <c r="Q83" s="684"/>
      <c r="R83" s="684"/>
      <c r="S83" s="684"/>
      <c r="T83" s="684"/>
      <c r="U83" s="684"/>
      <c r="V83" s="684"/>
      <c r="W83" s="684"/>
      <c r="X83" s="684"/>
      <c r="Y83" s="684"/>
      <c r="Z83" s="684"/>
      <c r="AA83" s="684"/>
      <c r="AB83" s="684"/>
      <c r="AC83" s="684"/>
      <c r="AD83" s="684"/>
      <c r="AE83" s="684"/>
      <c r="AF83" s="684"/>
      <c r="AG83" s="684"/>
      <c r="AH83" s="684"/>
      <c r="AI83" s="684"/>
      <c r="AJ83" s="684"/>
      <c r="AK83" s="684"/>
      <c r="AL83" s="684"/>
      <c r="AM83" s="684"/>
      <c r="AN83" s="684"/>
      <c r="AO83" s="684"/>
      <c r="AP83" s="684"/>
      <c r="AQ83" s="684"/>
      <c r="AR83" s="684"/>
      <c r="AS83" s="684"/>
      <c r="AT83" s="684"/>
      <c r="AU83" s="684"/>
      <c r="AV83" s="684"/>
      <c r="AW83" s="684"/>
      <c r="AX83" s="684"/>
      <c r="AY83" s="684"/>
      <c r="AZ83" s="684"/>
      <c r="BA83" s="684"/>
      <c r="BB83" s="684"/>
      <c r="BC83" s="684"/>
      <c r="BD83" s="684"/>
      <c r="BE83" s="684"/>
      <c r="BF83" s="684"/>
      <c r="BG83" s="1028"/>
      <c r="BH83" s="1028"/>
      <c r="BI83" s="1028"/>
      <c r="BK83" s="920"/>
    </row>
    <row r="84" spans="2:64" s="912" customFormat="1">
      <c r="B84" s="684"/>
      <c r="C84" s="684"/>
      <c r="D84" s="684"/>
      <c r="E84" s="684"/>
      <c r="F84" s="684"/>
      <c r="G84" s="684"/>
      <c r="H84" s="684"/>
      <c r="I84" s="684"/>
      <c r="J84" s="684"/>
      <c r="K84" s="684"/>
      <c r="L84" s="684"/>
      <c r="M84" s="684"/>
      <c r="N84" s="684"/>
      <c r="O84" s="684"/>
      <c r="P84" s="684"/>
      <c r="Q84" s="684"/>
      <c r="R84" s="684"/>
      <c r="S84" s="684"/>
      <c r="T84" s="684"/>
      <c r="U84" s="684"/>
      <c r="V84" s="684"/>
      <c r="W84" s="684"/>
      <c r="X84" s="684"/>
      <c r="Y84" s="684"/>
      <c r="Z84" s="684"/>
      <c r="AA84" s="684"/>
      <c r="AB84" s="684"/>
      <c r="AC84" s="684"/>
      <c r="AD84" s="684"/>
      <c r="AE84" s="684"/>
      <c r="AF84" s="684"/>
      <c r="AG84" s="684"/>
      <c r="AH84" s="684"/>
      <c r="AI84" s="684"/>
      <c r="AJ84" s="684"/>
      <c r="AK84" s="684"/>
      <c r="AL84" s="684"/>
      <c r="AM84" s="684"/>
      <c r="AN84" s="684"/>
      <c r="AO84" s="684"/>
      <c r="AP84" s="684"/>
      <c r="AQ84" s="684"/>
      <c r="AR84" s="684"/>
      <c r="AS84" s="684"/>
      <c r="AT84" s="684"/>
      <c r="AU84" s="684"/>
      <c r="AV84" s="684"/>
      <c r="AW84" s="684"/>
      <c r="AX84" s="684"/>
      <c r="AY84" s="684"/>
      <c r="AZ84" s="684"/>
      <c r="BA84" s="684"/>
      <c r="BB84" s="684"/>
      <c r="BC84" s="684"/>
      <c r="BD84" s="684"/>
      <c r="BE84" s="684"/>
      <c r="BF84" s="684"/>
      <c r="BG84" s="1028"/>
      <c r="BH84" s="1028"/>
      <c r="BI84" s="1028"/>
      <c r="BJ84" s="1029"/>
      <c r="BK84" s="923"/>
      <c r="BL84" s="913"/>
    </row>
    <row r="85" spans="2:64" ht="3" customHeight="1">
      <c r="B85" s="684"/>
      <c r="C85" s="684"/>
      <c r="D85" s="684"/>
      <c r="E85" s="684"/>
      <c r="F85" s="684"/>
      <c r="G85" s="684"/>
      <c r="H85" s="684"/>
      <c r="I85" s="684"/>
      <c r="J85" s="684"/>
      <c r="K85" s="684"/>
      <c r="L85" s="684"/>
      <c r="M85" s="684"/>
      <c r="N85" s="684"/>
      <c r="O85" s="684"/>
      <c r="P85" s="684"/>
      <c r="Q85" s="684"/>
      <c r="R85" s="684"/>
      <c r="S85" s="684"/>
      <c r="T85" s="684"/>
      <c r="U85" s="684"/>
      <c r="V85" s="684"/>
      <c r="W85" s="684"/>
      <c r="X85" s="684"/>
      <c r="Y85" s="684"/>
      <c r="Z85" s="684"/>
      <c r="AA85" s="684"/>
      <c r="AB85" s="684"/>
      <c r="AC85" s="684"/>
      <c r="AD85" s="684"/>
      <c r="AE85" s="684"/>
      <c r="AF85" s="684"/>
      <c r="AG85" s="684"/>
      <c r="AH85" s="684"/>
      <c r="AI85" s="684"/>
      <c r="AJ85" s="684"/>
      <c r="AK85" s="684"/>
      <c r="AL85" s="684"/>
      <c r="AM85" s="684"/>
      <c r="AN85" s="684"/>
      <c r="AO85" s="684"/>
      <c r="AP85" s="684"/>
      <c r="AQ85" s="684"/>
      <c r="AR85" s="684"/>
      <c r="AS85" s="684"/>
      <c r="AT85" s="684"/>
      <c r="AU85" s="684"/>
      <c r="AV85" s="684"/>
      <c r="AW85" s="684"/>
      <c r="AX85" s="684"/>
      <c r="AY85" s="684"/>
      <c r="AZ85" s="684"/>
      <c r="BA85" s="684"/>
      <c r="BB85" s="684"/>
      <c r="BC85" s="684"/>
      <c r="BD85" s="684"/>
      <c r="BE85" s="684"/>
      <c r="BF85" s="684"/>
      <c r="BG85" s="1028"/>
      <c r="BH85" s="1028"/>
      <c r="BI85" s="1028"/>
    </row>
    <row r="86" spans="2:64" ht="14.4" customHeight="1">
      <c r="B86" s="684"/>
      <c r="C86" s="684"/>
      <c r="D86" s="684"/>
      <c r="E86" s="684"/>
      <c r="F86" s="684"/>
      <c r="G86" s="684"/>
      <c r="H86" s="684"/>
      <c r="I86" s="684"/>
      <c r="J86" s="684"/>
      <c r="K86" s="684"/>
      <c r="L86" s="684"/>
      <c r="M86" s="684"/>
      <c r="N86" s="684"/>
      <c r="O86" s="684"/>
      <c r="P86" s="684"/>
      <c r="Q86" s="684"/>
      <c r="R86" s="684"/>
      <c r="S86" s="684"/>
      <c r="T86" s="684"/>
      <c r="U86" s="684"/>
      <c r="V86" s="684"/>
      <c r="W86" s="684"/>
      <c r="X86" s="684"/>
      <c r="Y86" s="684"/>
      <c r="Z86" s="684"/>
      <c r="AA86" s="684"/>
      <c r="AB86" s="684"/>
      <c r="AC86" s="684"/>
      <c r="AD86" s="684"/>
      <c r="AE86" s="684"/>
      <c r="AF86" s="684"/>
      <c r="AG86" s="684"/>
      <c r="AH86" s="684"/>
      <c r="AI86" s="684"/>
      <c r="AJ86" s="684"/>
      <c r="AK86" s="684"/>
      <c r="AL86" s="684"/>
      <c r="AM86" s="684"/>
      <c r="AN86" s="684"/>
      <c r="AO86" s="684"/>
      <c r="AP86" s="684"/>
      <c r="AQ86" s="684"/>
      <c r="AR86" s="684"/>
      <c r="AS86" s="684"/>
      <c r="AT86" s="684"/>
      <c r="AU86" s="684"/>
      <c r="AV86" s="684"/>
      <c r="AW86" s="684"/>
      <c r="AX86" s="684"/>
      <c r="AY86" s="684"/>
      <c r="AZ86" s="684"/>
      <c r="BA86" s="684"/>
      <c r="BB86" s="684"/>
      <c r="BC86" s="684"/>
      <c r="BD86" s="684"/>
      <c r="BE86" s="684"/>
      <c r="BF86" s="684"/>
      <c r="BG86" s="1028"/>
      <c r="BH86" s="1028"/>
      <c r="BI86" s="1028"/>
      <c r="BK86" s="920"/>
    </row>
    <row r="87" spans="2:64" ht="15" customHeight="1">
      <c r="B87" s="684"/>
      <c r="C87" s="684"/>
      <c r="D87" s="684"/>
      <c r="E87" s="684"/>
      <c r="F87" s="684"/>
      <c r="G87" s="684"/>
      <c r="H87" s="684"/>
      <c r="I87" s="684"/>
      <c r="J87" s="684"/>
      <c r="K87" s="684"/>
      <c r="L87" s="684"/>
      <c r="M87" s="684"/>
      <c r="N87" s="684"/>
      <c r="O87" s="684"/>
      <c r="P87" s="684"/>
      <c r="Q87" s="684"/>
      <c r="R87" s="684"/>
      <c r="S87" s="684"/>
      <c r="T87" s="684"/>
      <c r="U87" s="684"/>
      <c r="V87" s="684"/>
      <c r="W87" s="684"/>
      <c r="X87" s="684"/>
      <c r="Y87" s="684"/>
      <c r="Z87" s="684"/>
      <c r="AA87" s="684"/>
      <c r="AB87" s="684"/>
      <c r="AC87" s="684"/>
      <c r="AD87" s="684"/>
      <c r="AE87" s="684"/>
      <c r="AF87" s="684"/>
      <c r="AG87" s="684"/>
      <c r="AH87" s="684"/>
      <c r="AI87" s="684"/>
      <c r="AJ87" s="684"/>
      <c r="AK87" s="684"/>
      <c r="AL87" s="684"/>
      <c r="AM87" s="684"/>
      <c r="AN87" s="684"/>
      <c r="AO87" s="684"/>
      <c r="AP87" s="684"/>
      <c r="AQ87" s="684"/>
      <c r="AR87" s="684"/>
      <c r="AS87" s="684"/>
      <c r="AT87" s="684"/>
      <c r="AU87" s="684"/>
      <c r="AV87" s="684"/>
      <c r="AW87" s="684"/>
      <c r="AX87" s="684"/>
      <c r="AY87" s="684"/>
      <c r="AZ87" s="684"/>
      <c r="BA87" s="684"/>
      <c r="BB87" s="684"/>
      <c r="BC87" s="684"/>
      <c r="BD87" s="684"/>
      <c r="BE87" s="684"/>
      <c r="BF87" s="684"/>
      <c r="BG87" s="1028"/>
      <c r="BH87" s="1028"/>
      <c r="BI87" s="1028"/>
      <c r="BK87" s="920"/>
    </row>
    <row r="88" spans="2:64" ht="15" customHeight="1">
      <c r="B88" s="684"/>
      <c r="C88" s="684"/>
      <c r="D88" s="684"/>
      <c r="E88" s="684"/>
      <c r="F88" s="684"/>
      <c r="G88" s="684"/>
      <c r="H88" s="684"/>
      <c r="I88" s="684"/>
      <c r="J88" s="684"/>
      <c r="K88" s="684"/>
      <c r="L88" s="684"/>
      <c r="M88" s="684"/>
      <c r="N88" s="684"/>
      <c r="O88" s="684"/>
      <c r="P88" s="684"/>
      <c r="Q88" s="684"/>
      <c r="R88" s="684"/>
      <c r="S88" s="684"/>
      <c r="T88" s="684"/>
      <c r="U88" s="684"/>
      <c r="V88" s="684"/>
      <c r="W88" s="684"/>
      <c r="X88" s="684"/>
      <c r="Y88" s="684"/>
      <c r="Z88" s="684"/>
      <c r="AA88" s="684"/>
      <c r="AB88" s="684"/>
      <c r="AC88" s="684"/>
      <c r="AD88" s="684"/>
      <c r="AE88" s="684"/>
      <c r="AF88" s="684"/>
      <c r="AG88" s="684"/>
      <c r="AH88" s="684"/>
      <c r="AI88" s="684"/>
      <c r="AJ88" s="684"/>
      <c r="AK88" s="684"/>
      <c r="AL88" s="684"/>
      <c r="AM88" s="684"/>
      <c r="AN88" s="684"/>
      <c r="AO88" s="684"/>
      <c r="AP88" s="684"/>
      <c r="AQ88" s="684"/>
      <c r="AR88" s="684"/>
      <c r="AS88" s="684"/>
      <c r="AT88" s="684"/>
      <c r="AU88" s="684"/>
      <c r="AV88" s="684"/>
      <c r="AW88" s="684"/>
      <c r="AX88" s="684"/>
      <c r="AY88" s="684"/>
      <c r="AZ88" s="684"/>
      <c r="BA88" s="684"/>
      <c r="BB88" s="684"/>
      <c r="BC88" s="684"/>
      <c r="BD88" s="684"/>
      <c r="BE88" s="684"/>
      <c r="BF88" s="684"/>
      <c r="BG88" s="1028"/>
      <c r="BH88" s="1028"/>
      <c r="BI88" s="1028"/>
      <c r="BK88" s="920"/>
    </row>
    <row r="89" spans="2:64" ht="15" customHeight="1">
      <c r="B89" s="684"/>
      <c r="C89" s="684"/>
      <c r="D89" s="684"/>
      <c r="E89" s="684"/>
      <c r="F89" s="684"/>
      <c r="G89" s="684"/>
      <c r="H89" s="684"/>
      <c r="I89" s="684"/>
      <c r="J89" s="684"/>
      <c r="K89" s="684"/>
      <c r="L89" s="684"/>
      <c r="M89" s="684"/>
      <c r="N89" s="684"/>
      <c r="O89" s="684"/>
      <c r="P89" s="684"/>
      <c r="Q89" s="684"/>
      <c r="R89" s="684"/>
      <c r="S89" s="684"/>
      <c r="T89" s="684"/>
      <c r="U89" s="684"/>
      <c r="V89" s="684"/>
      <c r="W89" s="684"/>
      <c r="X89" s="684"/>
      <c r="Y89" s="684"/>
      <c r="Z89" s="684"/>
      <c r="AA89" s="684"/>
      <c r="AB89" s="684"/>
      <c r="AC89" s="684"/>
      <c r="AD89" s="684"/>
      <c r="AE89" s="684"/>
      <c r="AF89" s="684"/>
      <c r="AG89" s="684"/>
      <c r="AH89" s="684"/>
      <c r="AI89" s="684"/>
      <c r="AJ89" s="684"/>
      <c r="AK89" s="684"/>
      <c r="AL89" s="684"/>
      <c r="AM89" s="684"/>
      <c r="AN89" s="684"/>
      <c r="AO89" s="684"/>
      <c r="AP89" s="684"/>
      <c r="AQ89" s="684"/>
      <c r="AR89" s="684"/>
      <c r="AS89" s="684"/>
      <c r="AT89" s="684"/>
      <c r="AU89" s="684"/>
      <c r="AV89" s="684"/>
      <c r="AW89" s="684"/>
      <c r="AX89" s="684"/>
      <c r="AY89" s="684"/>
      <c r="AZ89" s="684"/>
      <c r="BA89" s="684"/>
      <c r="BB89" s="684"/>
      <c r="BC89" s="684"/>
      <c r="BD89" s="684"/>
      <c r="BE89" s="684"/>
      <c r="BF89" s="684"/>
      <c r="BG89" s="1028"/>
      <c r="BH89" s="1028"/>
      <c r="BI89" s="1028"/>
      <c r="BK89" s="920"/>
    </row>
    <row r="90" spans="2:64" ht="3" customHeight="1">
      <c r="B90" s="684"/>
      <c r="C90" s="684"/>
      <c r="D90" s="684"/>
      <c r="E90" s="684"/>
      <c r="F90" s="684"/>
      <c r="G90" s="684"/>
      <c r="H90" s="684"/>
      <c r="I90" s="684"/>
      <c r="J90" s="684"/>
      <c r="K90" s="684"/>
      <c r="L90" s="684"/>
      <c r="M90" s="684"/>
      <c r="N90" s="684"/>
      <c r="O90" s="684"/>
      <c r="P90" s="684"/>
      <c r="Q90" s="684"/>
      <c r="R90" s="684"/>
      <c r="S90" s="684"/>
      <c r="T90" s="684"/>
      <c r="U90" s="684"/>
      <c r="V90" s="684"/>
      <c r="W90" s="684"/>
      <c r="X90" s="684"/>
      <c r="Y90" s="684"/>
      <c r="Z90" s="684"/>
      <c r="AA90" s="684"/>
      <c r="AB90" s="684"/>
      <c r="AC90" s="684"/>
      <c r="AD90" s="684"/>
      <c r="AE90" s="684"/>
      <c r="AF90" s="684"/>
      <c r="AG90" s="684"/>
      <c r="AH90" s="684"/>
      <c r="AI90" s="684"/>
      <c r="AJ90" s="684"/>
      <c r="AK90" s="684"/>
      <c r="AL90" s="684"/>
      <c r="AM90" s="684"/>
      <c r="AN90" s="684"/>
      <c r="AO90" s="684"/>
      <c r="AP90" s="684"/>
      <c r="AQ90" s="684"/>
      <c r="AR90" s="684"/>
      <c r="AS90" s="684"/>
      <c r="AT90" s="684"/>
      <c r="AU90" s="684"/>
      <c r="AV90" s="684"/>
      <c r="AW90" s="684"/>
      <c r="AX90" s="684"/>
      <c r="AY90" s="684"/>
      <c r="AZ90" s="684"/>
      <c r="BA90" s="684"/>
      <c r="BB90" s="684"/>
      <c r="BC90" s="684"/>
      <c r="BD90" s="684"/>
      <c r="BE90" s="684"/>
      <c r="BF90" s="684"/>
      <c r="BG90" s="1028"/>
      <c r="BH90" s="1028"/>
      <c r="BI90" s="1028"/>
    </row>
    <row r="91" spans="2:64" ht="9" customHeight="1">
      <c r="B91" s="684"/>
      <c r="C91" s="684"/>
      <c r="D91" s="684"/>
      <c r="E91" s="684"/>
      <c r="F91" s="684"/>
      <c r="G91" s="684"/>
      <c r="H91" s="684"/>
      <c r="I91" s="684"/>
      <c r="J91" s="684"/>
      <c r="K91" s="684"/>
      <c r="L91" s="684"/>
      <c r="M91" s="684"/>
      <c r="N91" s="684"/>
      <c r="O91" s="684"/>
      <c r="P91" s="684"/>
      <c r="Q91" s="684"/>
      <c r="R91" s="684"/>
      <c r="S91" s="684"/>
      <c r="T91" s="684"/>
      <c r="U91" s="684"/>
      <c r="V91" s="684"/>
      <c r="W91" s="684"/>
      <c r="X91" s="684"/>
      <c r="Y91" s="684"/>
      <c r="Z91" s="684"/>
      <c r="AA91" s="684"/>
      <c r="AB91" s="684"/>
      <c r="AC91" s="684"/>
      <c r="AD91" s="684"/>
      <c r="AE91" s="684"/>
      <c r="AF91" s="684"/>
      <c r="AG91" s="684"/>
      <c r="AH91" s="684"/>
      <c r="AI91" s="684"/>
      <c r="AJ91" s="684"/>
      <c r="AK91" s="684"/>
      <c r="AL91" s="684"/>
      <c r="AM91" s="684"/>
      <c r="AN91" s="684"/>
      <c r="AO91" s="684"/>
      <c r="AP91" s="684"/>
      <c r="AQ91" s="684"/>
      <c r="AR91" s="684"/>
      <c r="AS91" s="684"/>
      <c r="AT91" s="684"/>
      <c r="AU91" s="684"/>
      <c r="AV91" s="684"/>
      <c r="AW91" s="684"/>
      <c r="AX91" s="684"/>
      <c r="AY91" s="684"/>
      <c r="AZ91" s="684"/>
      <c r="BA91" s="684"/>
      <c r="BB91" s="684"/>
      <c r="BC91" s="684"/>
      <c r="BD91" s="684"/>
      <c r="BE91" s="684"/>
      <c r="BF91" s="684"/>
      <c r="BG91" s="1028"/>
      <c r="BH91" s="1028"/>
      <c r="BI91" s="1028"/>
    </row>
    <row r="92" spans="2:64" ht="18" customHeight="1">
      <c r="B92" s="684"/>
      <c r="C92" s="684"/>
      <c r="D92" s="684"/>
      <c r="E92" s="684"/>
      <c r="F92" s="684"/>
      <c r="G92" s="684"/>
      <c r="H92" s="684"/>
      <c r="I92" s="684"/>
      <c r="J92" s="684"/>
      <c r="K92" s="684"/>
      <c r="L92" s="684"/>
      <c r="M92" s="684"/>
      <c r="N92" s="684"/>
      <c r="O92" s="684"/>
      <c r="P92" s="684"/>
      <c r="Q92" s="684"/>
      <c r="R92" s="684"/>
      <c r="S92" s="684"/>
      <c r="T92" s="684"/>
      <c r="U92" s="684"/>
      <c r="V92" s="684"/>
      <c r="W92" s="684"/>
      <c r="X92" s="684"/>
      <c r="Y92" s="684"/>
      <c r="Z92" s="684"/>
      <c r="AA92" s="684"/>
      <c r="AB92" s="684"/>
      <c r="AC92" s="684"/>
      <c r="AD92" s="684"/>
      <c r="AE92" s="684"/>
      <c r="AF92" s="684"/>
      <c r="AG92" s="684"/>
      <c r="AH92" s="684"/>
      <c r="AI92" s="684"/>
      <c r="AJ92" s="684"/>
      <c r="AK92" s="684"/>
      <c r="AL92" s="684"/>
      <c r="AM92" s="684"/>
      <c r="AN92" s="684"/>
      <c r="AO92" s="684"/>
      <c r="AP92" s="684"/>
      <c r="AQ92" s="684"/>
      <c r="AR92" s="684"/>
      <c r="AS92" s="684"/>
      <c r="AT92" s="684"/>
      <c r="AU92" s="684"/>
      <c r="AV92" s="684"/>
      <c r="AW92" s="684"/>
      <c r="AX92" s="684"/>
      <c r="AY92" s="684"/>
      <c r="AZ92" s="684"/>
      <c r="BA92" s="684"/>
      <c r="BB92" s="684"/>
      <c r="BC92" s="684"/>
      <c r="BD92" s="684"/>
      <c r="BE92" s="684"/>
      <c r="BF92" s="684"/>
      <c r="BG92" s="1028"/>
      <c r="BH92" s="1028"/>
      <c r="BI92" s="1028"/>
      <c r="BK92" s="920"/>
    </row>
    <row r="93" spans="2:64" ht="14.4">
      <c r="B93" s="1450"/>
      <c r="C93" s="1450"/>
      <c r="D93" s="1450"/>
      <c r="E93" s="1450"/>
      <c r="F93" s="1450"/>
      <c r="G93" s="1450"/>
      <c r="H93" s="1450"/>
      <c r="I93" s="1450"/>
      <c r="J93" s="1450"/>
      <c r="K93" s="1450"/>
      <c r="L93" s="1450"/>
      <c r="M93" s="1450"/>
      <c r="N93" s="1450"/>
      <c r="O93" s="1450"/>
      <c r="P93" s="1450"/>
      <c r="Q93" s="1450"/>
      <c r="R93" s="1450"/>
      <c r="S93" s="1450"/>
      <c r="T93" s="1450"/>
      <c r="U93" s="1450"/>
      <c r="V93" s="1450"/>
      <c r="W93" s="1450"/>
      <c r="X93" s="1450"/>
      <c r="Y93" s="1450"/>
      <c r="Z93" s="1450"/>
      <c r="AA93" s="1450"/>
      <c r="AB93" s="1450"/>
      <c r="AC93" s="1450"/>
      <c r="AD93" s="1450"/>
      <c r="AE93" s="1450"/>
      <c r="AF93" s="1450"/>
      <c r="AG93" s="1450"/>
      <c r="AH93" s="1450"/>
      <c r="AI93" s="1450"/>
      <c r="AJ93" s="1450"/>
      <c r="AK93" s="1450"/>
      <c r="AL93" s="1450"/>
      <c r="AM93" s="1450"/>
      <c r="AN93" s="1450"/>
      <c r="AO93" s="1450"/>
      <c r="AP93" s="1450"/>
      <c r="AQ93" s="1450"/>
      <c r="AR93" s="1450"/>
      <c r="AS93" s="1450"/>
      <c r="AT93" s="1450"/>
      <c r="AU93" s="1450"/>
      <c r="AV93" s="1450"/>
      <c r="AW93" s="1450"/>
      <c r="AX93" s="1450"/>
      <c r="AY93" s="1450"/>
      <c r="AZ93" s="1450"/>
      <c r="BA93" s="1450"/>
      <c r="BB93" s="1450"/>
      <c r="BC93" s="1450"/>
      <c r="BD93" s="1450"/>
      <c r="BE93" s="911"/>
    </row>
    <row r="94" spans="2:64" ht="14.4">
      <c r="B94" s="1450"/>
      <c r="C94" s="1450"/>
      <c r="D94" s="1450"/>
      <c r="E94" s="1450"/>
      <c r="F94" s="1450"/>
      <c r="G94" s="1450"/>
      <c r="H94" s="1450"/>
      <c r="I94" s="1450"/>
      <c r="J94" s="1450"/>
      <c r="K94" s="1450"/>
      <c r="L94" s="1450"/>
      <c r="M94" s="1450"/>
      <c r="N94" s="1450"/>
      <c r="O94" s="1450"/>
      <c r="P94" s="1450"/>
      <c r="Q94" s="1450"/>
      <c r="R94" s="1450"/>
      <c r="S94" s="1450"/>
      <c r="T94" s="1450"/>
      <c r="U94" s="1450"/>
      <c r="V94" s="1450"/>
      <c r="W94" s="1450"/>
      <c r="X94" s="1450"/>
      <c r="Y94" s="1450"/>
      <c r="Z94" s="1450"/>
      <c r="AA94" s="1450"/>
      <c r="AB94" s="1450"/>
      <c r="AC94" s="1450"/>
      <c r="AD94" s="1450"/>
      <c r="AE94" s="1450"/>
      <c r="AF94" s="1450"/>
      <c r="AG94" s="1450"/>
      <c r="AH94" s="1450"/>
      <c r="AI94" s="1450"/>
      <c r="AJ94" s="1450"/>
      <c r="AK94" s="1450"/>
      <c r="AL94" s="1450"/>
      <c r="AM94" s="1450"/>
      <c r="AN94" s="1450"/>
      <c r="AO94" s="1450"/>
      <c r="AP94" s="1450"/>
      <c r="AQ94" s="1450"/>
      <c r="AR94" s="1450"/>
      <c r="AS94" s="1450"/>
      <c r="AT94" s="1450"/>
      <c r="AU94" s="1450"/>
      <c r="AV94" s="1450"/>
      <c r="AW94" s="1450"/>
      <c r="AX94" s="1450"/>
      <c r="AY94" s="1450"/>
      <c r="AZ94" s="1450"/>
      <c r="BA94" s="1450"/>
      <c r="BB94" s="1450"/>
      <c r="BC94" s="1450"/>
      <c r="BD94" s="1450"/>
      <c r="BE94" s="911"/>
    </row>
    <row r="95" spans="2:64" ht="15.6">
      <c r="B95" s="815"/>
      <c r="C95" s="815"/>
      <c r="D95" s="815"/>
      <c r="E95" s="815"/>
      <c r="F95" s="815"/>
      <c r="G95" s="815"/>
      <c r="H95" s="815"/>
      <c r="I95" s="815"/>
      <c r="J95" s="815"/>
      <c r="K95" s="815"/>
      <c r="L95" s="815"/>
      <c r="M95" s="815"/>
      <c r="N95" s="815"/>
      <c r="O95" s="815"/>
      <c r="P95" s="815"/>
      <c r="Q95" s="815"/>
      <c r="R95" s="815"/>
      <c r="S95" s="815"/>
      <c r="T95" s="815"/>
      <c r="U95" s="815"/>
      <c r="V95" s="815"/>
      <c r="W95" s="815"/>
      <c r="X95" s="815"/>
      <c r="Y95" s="815"/>
      <c r="Z95" s="815"/>
      <c r="AA95" s="815"/>
      <c r="AB95" s="815"/>
      <c r="AC95" s="815"/>
      <c r="AD95" s="815"/>
      <c r="AE95" s="815"/>
      <c r="AF95" s="815"/>
      <c r="AG95" s="815"/>
      <c r="AH95" s="815"/>
      <c r="AI95" s="815"/>
      <c r="AJ95" s="815"/>
      <c r="AK95" s="815"/>
      <c r="AL95" s="815"/>
      <c r="AM95" s="815"/>
      <c r="AN95" s="815"/>
      <c r="AO95" s="815"/>
      <c r="AP95" s="815"/>
      <c r="AQ95" s="815"/>
      <c r="AR95" s="815"/>
      <c r="AS95" s="815"/>
      <c r="AT95" s="815"/>
      <c r="AU95" s="815"/>
      <c r="AV95" s="815"/>
      <c r="AW95" s="815"/>
      <c r="AX95" s="815"/>
      <c r="AY95" s="815"/>
      <c r="AZ95" s="815"/>
      <c r="BA95" s="815"/>
      <c r="BB95" s="815"/>
      <c r="BC95" s="1451"/>
      <c r="BD95" s="1451"/>
    </row>
  </sheetData>
  <sheetProtection algorithmName="SHA-512" hashValue="L/HFt/O59dOJ0cQiE0WHkmki0XL+Z7SUqqnAK7BjS5CilkMDnKaNO6XVtjIoJqcMiuqYqpZvK6xsMOW6iBKaSg==" saltValue="ytvGX86IYRG7rKP2Ox2DwQ==" spinCount="100000" sheet="1" objects="1" scenarios="1"/>
  <mergeCells count="55">
    <mergeCell ref="BK40:BP42"/>
    <mergeCell ref="B93:BD93"/>
    <mergeCell ref="B94:BD94"/>
    <mergeCell ref="BC95:BD95"/>
    <mergeCell ref="C25:BD25"/>
    <mergeCell ref="AU28:AZ28"/>
    <mergeCell ref="C38:BD38"/>
    <mergeCell ref="B43:C43"/>
    <mergeCell ref="D52:BD52"/>
    <mergeCell ref="B53:C53"/>
    <mergeCell ref="AU30:AZ30"/>
    <mergeCell ref="C35:AK35"/>
    <mergeCell ref="C36:AK36"/>
    <mergeCell ref="C37:AK37"/>
    <mergeCell ref="AM35:AV35"/>
    <mergeCell ref="AM36:AV36"/>
    <mergeCell ref="O21:P21"/>
    <mergeCell ref="AD19:AI19"/>
    <mergeCell ref="AD21:AI21"/>
    <mergeCell ref="AD24:AI24"/>
    <mergeCell ref="W28:AE28"/>
    <mergeCell ref="AX35:BB35"/>
    <mergeCell ref="AX36:BB36"/>
    <mergeCell ref="AX37:BB37"/>
    <mergeCell ref="W30:AE30"/>
    <mergeCell ref="B67:C67"/>
    <mergeCell ref="B58:C58"/>
    <mergeCell ref="AI54:BD58"/>
    <mergeCell ref="B60:C60"/>
    <mergeCell ref="D64:J64"/>
    <mergeCell ref="D65:J65"/>
    <mergeCell ref="K64:AB64"/>
    <mergeCell ref="K65:AB65"/>
    <mergeCell ref="AC64:BC64"/>
    <mergeCell ref="AC65:BC65"/>
    <mergeCell ref="D60:BD60"/>
    <mergeCell ref="AM37:AV37"/>
    <mergeCell ref="D75:BD75"/>
    <mergeCell ref="Y68:BD69"/>
    <mergeCell ref="Y70:BD71"/>
    <mergeCell ref="B70:C70"/>
    <mergeCell ref="B74:C74"/>
    <mergeCell ref="AB8:AG8"/>
    <mergeCell ref="AL8:AQ8"/>
    <mergeCell ref="AV8:BA8"/>
    <mergeCell ref="AB10:AG10"/>
    <mergeCell ref="AL10:AQ10"/>
    <mergeCell ref="AV10:BA10"/>
    <mergeCell ref="C16:BD16"/>
    <mergeCell ref="AB12:AG12"/>
    <mergeCell ref="AL12:AQ12"/>
    <mergeCell ref="AV12:BA12"/>
    <mergeCell ref="AB15:AG15"/>
    <mergeCell ref="AL15:AQ15"/>
    <mergeCell ref="AV15:BA15"/>
  </mergeCells>
  <conditionalFormatting sqref="D52:BD52">
    <cfRule type="expression" dxfId="47" priority="12">
      <formula>$BK$51&lt;&gt;""</formula>
    </cfRule>
  </conditionalFormatting>
  <conditionalFormatting sqref="AI54:BD58">
    <cfRule type="expression" dxfId="46" priority="11">
      <formula>$BK$54&lt;&gt;""</formula>
    </cfRule>
  </conditionalFormatting>
  <conditionalFormatting sqref="D64 K64 AC64">
    <cfRule type="expression" dxfId="45" priority="10">
      <formula>$BK$64&lt;&gt;""</formula>
    </cfRule>
  </conditionalFormatting>
  <conditionalFormatting sqref="D65 K65 AC65">
    <cfRule type="expression" dxfId="44" priority="9">
      <formula>$BK$65&lt;&gt;""</formula>
    </cfRule>
  </conditionalFormatting>
  <conditionalFormatting sqref="Y68:BD69">
    <cfRule type="expression" dxfId="43" priority="8">
      <formula>$BK$68&lt;&gt;""</formula>
    </cfRule>
  </conditionalFormatting>
  <conditionalFormatting sqref="Y70:BD71">
    <cfRule type="expression" dxfId="42" priority="7">
      <formula>$BK$70&lt;&gt;""</formula>
    </cfRule>
  </conditionalFormatting>
  <conditionalFormatting sqref="D75:BD75">
    <cfRule type="expression" dxfId="41" priority="6">
      <formula>$BK$75&lt;&gt;""</formula>
    </cfRule>
  </conditionalFormatting>
  <conditionalFormatting sqref="AO2">
    <cfRule type="cellIs" dxfId="40" priority="2" stopIfTrue="1" operator="equal">
      <formula>"O.K."</formula>
    </cfRule>
  </conditionalFormatting>
  <conditionalFormatting sqref="BK40:BP42">
    <cfRule type="expression" dxfId="39" priority="1">
      <formula>$BK$40&lt;&gt;""</formula>
    </cfRule>
  </conditionalFormatting>
  <printOptions horizontalCentered="1"/>
  <pageMargins left="0.11811023622047245" right="0.11811023622047245" top="0.31496062992125984" bottom="0.11811023622047245" header="0" footer="0"/>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20</xdr:col>
                    <xdr:colOff>83820</xdr:colOff>
                    <xdr:row>47</xdr:row>
                    <xdr:rowOff>7620</xdr:rowOff>
                  </from>
                  <to>
                    <xdr:col>23</xdr:col>
                    <xdr:colOff>22860</xdr:colOff>
                    <xdr:row>49</xdr:row>
                    <xdr:rowOff>30480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49</xdr:col>
                    <xdr:colOff>99060</xdr:colOff>
                    <xdr:row>41</xdr:row>
                    <xdr:rowOff>22860</xdr:rowOff>
                  </from>
                  <to>
                    <xdr:col>52</xdr:col>
                    <xdr:colOff>30480</xdr:colOff>
                    <xdr:row>43</xdr:row>
                    <xdr:rowOff>30480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20</xdr:col>
                    <xdr:colOff>83820</xdr:colOff>
                    <xdr:row>41</xdr:row>
                    <xdr:rowOff>22860</xdr:rowOff>
                  </from>
                  <to>
                    <xdr:col>23</xdr:col>
                    <xdr:colOff>22860</xdr:colOff>
                    <xdr:row>43</xdr:row>
                    <xdr:rowOff>30480</xdr:rowOff>
                  </to>
                </anchor>
              </controlPr>
            </control>
          </mc:Choice>
        </mc:AlternateContent>
        <mc:AlternateContent xmlns:mc="http://schemas.openxmlformats.org/markup-compatibility/2006">
          <mc:Choice Requires="x14">
            <control shapeId="18436" r:id="rId7" name="Check Box 4">
              <controlPr defaultSize="0" autoFill="0" autoLine="0" autoPict="0">
                <anchor moveWithCells="1">
                  <from>
                    <xdr:col>20</xdr:col>
                    <xdr:colOff>83820</xdr:colOff>
                    <xdr:row>43</xdr:row>
                    <xdr:rowOff>7620</xdr:rowOff>
                  </from>
                  <to>
                    <xdr:col>23</xdr:col>
                    <xdr:colOff>22860</xdr:colOff>
                    <xdr:row>45</xdr:row>
                    <xdr:rowOff>30480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20</xdr:col>
                    <xdr:colOff>83820</xdr:colOff>
                    <xdr:row>45</xdr:row>
                    <xdr:rowOff>7620</xdr:rowOff>
                  </from>
                  <to>
                    <xdr:col>23</xdr:col>
                    <xdr:colOff>22860</xdr:colOff>
                    <xdr:row>47</xdr:row>
                    <xdr:rowOff>30480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23</xdr:col>
                    <xdr:colOff>83820</xdr:colOff>
                    <xdr:row>41</xdr:row>
                    <xdr:rowOff>22860</xdr:rowOff>
                  </from>
                  <to>
                    <xdr:col>26</xdr:col>
                    <xdr:colOff>22860</xdr:colOff>
                    <xdr:row>43</xdr:row>
                    <xdr:rowOff>30480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23</xdr:col>
                    <xdr:colOff>83820</xdr:colOff>
                    <xdr:row>43</xdr:row>
                    <xdr:rowOff>7620</xdr:rowOff>
                  </from>
                  <to>
                    <xdr:col>26</xdr:col>
                    <xdr:colOff>22860</xdr:colOff>
                    <xdr:row>45</xdr:row>
                    <xdr:rowOff>30480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23</xdr:col>
                    <xdr:colOff>83820</xdr:colOff>
                    <xdr:row>45</xdr:row>
                    <xdr:rowOff>7620</xdr:rowOff>
                  </from>
                  <to>
                    <xdr:col>26</xdr:col>
                    <xdr:colOff>22860</xdr:colOff>
                    <xdr:row>47</xdr:row>
                    <xdr:rowOff>30480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23</xdr:col>
                    <xdr:colOff>83820</xdr:colOff>
                    <xdr:row>47</xdr:row>
                    <xdr:rowOff>7620</xdr:rowOff>
                  </from>
                  <to>
                    <xdr:col>26</xdr:col>
                    <xdr:colOff>22860</xdr:colOff>
                    <xdr:row>49</xdr:row>
                    <xdr:rowOff>30480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49</xdr:col>
                    <xdr:colOff>99060</xdr:colOff>
                    <xdr:row>43</xdr:row>
                    <xdr:rowOff>7620</xdr:rowOff>
                  </from>
                  <to>
                    <xdr:col>52</xdr:col>
                    <xdr:colOff>30480</xdr:colOff>
                    <xdr:row>45</xdr:row>
                    <xdr:rowOff>30480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49</xdr:col>
                    <xdr:colOff>99060</xdr:colOff>
                    <xdr:row>45</xdr:row>
                    <xdr:rowOff>7620</xdr:rowOff>
                  </from>
                  <to>
                    <xdr:col>52</xdr:col>
                    <xdr:colOff>30480</xdr:colOff>
                    <xdr:row>47</xdr:row>
                    <xdr:rowOff>30480</xdr:rowOff>
                  </to>
                </anchor>
              </controlPr>
            </control>
          </mc:Choice>
        </mc:AlternateContent>
        <mc:AlternateContent xmlns:mc="http://schemas.openxmlformats.org/markup-compatibility/2006">
          <mc:Choice Requires="x14">
            <control shapeId="18444" r:id="rId15" name="Check Box 12">
              <controlPr defaultSize="0" autoFill="0" autoLine="0" autoPict="0">
                <anchor moveWithCells="1">
                  <from>
                    <xdr:col>52</xdr:col>
                    <xdr:colOff>83820</xdr:colOff>
                    <xdr:row>41</xdr:row>
                    <xdr:rowOff>22860</xdr:rowOff>
                  </from>
                  <to>
                    <xdr:col>55</xdr:col>
                    <xdr:colOff>22860</xdr:colOff>
                    <xdr:row>43</xdr:row>
                    <xdr:rowOff>30480</xdr:rowOff>
                  </to>
                </anchor>
              </controlPr>
            </control>
          </mc:Choice>
        </mc:AlternateContent>
        <mc:AlternateContent xmlns:mc="http://schemas.openxmlformats.org/markup-compatibility/2006">
          <mc:Choice Requires="x14">
            <control shapeId="18445" r:id="rId16" name="Check Box 13">
              <controlPr defaultSize="0" autoFill="0" autoLine="0" autoPict="0">
                <anchor moveWithCells="1">
                  <from>
                    <xdr:col>52</xdr:col>
                    <xdr:colOff>83820</xdr:colOff>
                    <xdr:row>43</xdr:row>
                    <xdr:rowOff>7620</xdr:rowOff>
                  </from>
                  <to>
                    <xdr:col>55</xdr:col>
                    <xdr:colOff>22860</xdr:colOff>
                    <xdr:row>46</xdr:row>
                    <xdr:rowOff>0</xdr:rowOff>
                  </to>
                </anchor>
              </controlPr>
            </control>
          </mc:Choice>
        </mc:AlternateContent>
        <mc:AlternateContent xmlns:mc="http://schemas.openxmlformats.org/markup-compatibility/2006">
          <mc:Choice Requires="x14">
            <control shapeId="18446" r:id="rId17" name="Check Box 14">
              <controlPr defaultSize="0" autoFill="0" autoLine="0" autoPict="0">
                <anchor moveWithCells="1">
                  <from>
                    <xdr:col>52</xdr:col>
                    <xdr:colOff>83820</xdr:colOff>
                    <xdr:row>45</xdr:row>
                    <xdr:rowOff>7620</xdr:rowOff>
                  </from>
                  <to>
                    <xdr:col>55</xdr:col>
                    <xdr:colOff>22860</xdr:colOff>
                    <xdr:row>47</xdr:row>
                    <xdr:rowOff>30480</xdr:rowOff>
                  </to>
                </anchor>
              </controlPr>
            </control>
          </mc:Choice>
        </mc:AlternateContent>
        <mc:AlternateContent xmlns:mc="http://schemas.openxmlformats.org/markup-compatibility/2006">
          <mc:Choice Requires="x14">
            <control shapeId="18447" r:id="rId18" name="Check Box 15">
              <controlPr defaultSize="0" autoFill="0" autoLine="0" autoPict="0">
                <anchor moveWithCells="1">
                  <from>
                    <xdr:col>13</xdr:col>
                    <xdr:colOff>83820</xdr:colOff>
                    <xdr:row>53</xdr:row>
                    <xdr:rowOff>144780</xdr:rowOff>
                  </from>
                  <to>
                    <xdr:col>16</xdr:col>
                    <xdr:colOff>22860</xdr:colOff>
                    <xdr:row>55</xdr:row>
                    <xdr:rowOff>30480</xdr:rowOff>
                  </to>
                </anchor>
              </controlPr>
            </control>
          </mc:Choice>
        </mc:AlternateContent>
        <mc:AlternateContent xmlns:mc="http://schemas.openxmlformats.org/markup-compatibility/2006">
          <mc:Choice Requires="x14">
            <control shapeId="18448" r:id="rId19" name="Check Box 16">
              <controlPr defaultSize="0" autoFill="0" autoLine="0" autoPict="0">
                <anchor moveWithCells="1">
                  <from>
                    <xdr:col>20</xdr:col>
                    <xdr:colOff>76200</xdr:colOff>
                    <xdr:row>53</xdr:row>
                    <xdr:rowOff>144780</xdr:rowOff>
                  </from>
                  <to>
                    <xdr:col>23</xdr:col>
                    <xdr:colOff>7620</xdr:colOff>
                    <xdr:row>55</xdr:row>
                    <xdr:rowOff>30480</xdr:rowOff>
                  </to>
                </anchor>
              </controlPr>
            </control>
          </mc:Choice>
        </mc:AlternateContent>
        <mc:AlternateContent xmlns:mc="http://schemas.openxmlformats.org/markup-compatibility/2006">
          <mc:Choice Requires="x14">
            <control shapeId="18449" r:id="rId20" name="Check Box 17">
              <controlPr defaultSize="0" autoFill="0" autoLine="0" autoPict="0">
                <anchor moveWithCells="1">
                  <from>
                    <xdr:col>13</xdr:col>
                    <xdr:colOff>83820</xdr:colOff>
                    <xdr:row>56</xdr:row>
                    <xdr:rowOff>22860</xdr:rowOff>
                  </from>
                  <to>
                    <xdr:col>16</xdr:col>
                    <xdr:colOff>22860</xdr:colOff>
                    <xdr:row>58</xdr:row>
                    <xdr:rowOff>30480</xdr:rowOff>
                  </to>
                </anchor>
              </controlPr>
            </control>
          </mc:Choice>
        </mc:AlternateContent>
        <mc:AlternateContent xmlns:mc="http://schemas.openxmlformats.org/markup-compatibility/2006">
          <mc:Choice Requires="x14">
            <control shapeId="18450" r:id="rId21" name="Check Box 18">
              <controlPr defaultSize="0" autoFill="0" autoLine="0" autoPict="0">
                <anchor moveWithCells="1">
                  <from>
                    <xdr:col>20</xdr:col>
                    <xdr:colOff>76200</xdr:colOff>
                    <xdr:row>56</xdr:row>
                    <xdr:rowOff>22860</xdr:rowOff>
                  </from>
                  <to>
                    <xdr:col>23</xdr:col>
                    <xdr:colOff>7620</xdr:colOff>
                    <xdr:row>58</xdr:row>
                    <xdr:rowOff>30480</xdr:rowOff>
                  </to>
                </anchor>
              </controlPr>
            </control>
          </mc:Choice>
        </mc:AlternateContent>
        <mc:AlternateContent xmlns:mc="http://schemas.openxmlformats.org/markup-compatibility/2006">
          <mc:Choice Requires="x14">
            <control shapeId="18451" r:id="rId22" name="Check Box 19">
              <controlPr defaultSize="0" autoFill="0" autoLine="0" autoPict="0">
                <anchor moveWithCells="1">
                  <from>
                    <xdr:col>40</xdr:col>
                    <xdr:colOff>83820</xdr:colOff>
                    <xdr:row>59</xdr:row>
                    <xdr:rowOff>152400</xdr:rowOff>
                  </from>
                  <to>
                    <xdr:col>43</xdr:col>
                    <xdr:colOff>22860</xdr:colOff>
                    <xdr:row>61</xdr:row>
                    <xdr:rowOff>38100</xdr:rowOff>
                  </to>
                </anchor>
              </controlPr>
            </control>
          </mc:Choice>
        </mc:AlternateContent>
        <mc:AlternateContent xmlns:mc="http://schemas.openxmlformats.org/markup-compatibility/2006">
          <mc:Choice Requires="x14">
            <control shapeId="18452" r:id="rId23" name="Check Box 20">
              <controlPr defaultSize="0" autoFill="0" autoLine="0" autoPict="0">
                <anchor moveWithCells="1">
                  <from>
                    <xdr:col>44</xdr:col>
                    <xdr:colOff>83820</xdr:colOff>
                    <xdr:row>59</xdr:row>
                    <xdr:rowOff>152400</xdr:rowOff>
                  </from>
                  <to>
                    <xdr:col>47</xdr:col>
                    <xdr:colOff>22860</xdr:colOff>
                    <xdr:row>61</xdr:row>
                    <xdr:rowOff>38100</xdr:rowOff>
                  </to>
                </anchor>
              </controlPr>
            </control>
          </mc:Choice>
        </mc:AlternateContent>
        <mc:AlternateContent xmlns:mc="http://schemas.openxmlformats.org/markup-compatibility/2006">
          <mc:Choice Requires="x14">
            <control shapeId="18455" r:id="rId24" name="Check Box 23">
              <controlPr defaultSize="0" autoFill="0" autoLine="0" autoPict="0">
                <anchor moveWithCells="1">
                  <from>
                    <xdr:col>13</xdr:col>
                    <xdr:colOff>83820</xdr:colOff>
                    <xdr:row>66</xdr:row>
                    <xdr:rowOff>144780</xdr:rowOff>
                  </from>
                  <to>
                    <xdr:col>16</xdr:col>
                    <xdr:colOff>22860</xdr:colOff>
                    <xdr:row>68</xdr:row>
                    <xdr:rowOff>30480</xdr:rowOff>
                  </to>
                </anchor>
              </controlPr>
            </control>
          </mc:Choice>
        </mc:AlternateContent>
        <mc:AlternateContent xmlns:mc="http://schemas.openxmlformats.org/markup-compatibility/2006">
          <mc:Choice Requires="x14">
            <control shapeId="18456" r:id="rId25" name="Check Box 24">
              <controlPr defaultSize="0" autoFill="0" autoLine="0" autoPict="0">
                <anchor moveWithCells="1">
                  <from>
                    <xdr:col>18</xdr:col>
                    <xdr:colOff>76200</xdr:colOff>
                    <xdr:row>66</xdr:row>
                    <xdr:rowOff>144780</xdr:rowOff>
                  </from>
                  <to>
                    <xdr:col>21</xdr:col>
                    <xdr:colOff>7620</xdr:colOff>
                    <xdr:row>68</xdr:row>
                    <xdr:rowOff>30480</xdr:rowOff>
                  </to>
                </anchor>
              </controlPr>
            </control>
          </mc:Choice>
        </mc:AlternateContent>
        <mc:AlternateContent xmlns:mc="http://schemas.openxmlformats.org/markup-compatibility/2006">
          <mc:Choice Requires="x14">
            <control shapeId="18457" r:id="rId26" name="Check Box 25">
              <controlPr defaultSize="0" autoFill="0" autoLine="0" autoPict="0">
                <anchor moveWithCells="1">
                  <from>
                    <xdr:col>13</xdr:col>
                    <xdr:colOff>83820</xdr:colOff>
                    <xdr:row>70</xdr:row>
                    <xdr:rowOff>160020</xdr:rowOff>
                  </from>
                  <to>
                    <xdr:col>16</xdr:col>
                    <xdr:colOff>22860</xdr:colOff>
                    <xdr:row>73</xdr:row>
                    <xdr:rowOff>0</xdr:rowOff>
                  </to>
                </anchor>
              </controlPr>
            </control>
          </mc:Choice>
        </mc:AlternateContent>
        <mc:AlternateContent xmlns:mc="http://schemas.openxmlformats.org/markup-compatibility/2006">
          <mc:Choice Requires="x14">
            <control shapeId="18458" r:id="rId27" name="Check Box 26">
              <controlPr defaultSize="0" autoFill="0" autoLine="0" autoPict="0">
                <anchor moveWithCells="1">
                  <from>
                    <xdr:col>18</xdr:col>
                    <xdr:colOff>76200</xdr:colOff>
                    <xdr:row>70</xdr:row>
                    <xdr:rowOff>160020</xdr:rowOff>
                  </from>
                  <to>
                    <xdr:col>21</xdr:col>
                    <xdr:colOff>7620</xdr:colOff>
                    <xdr:row>73</xdr:row>
                    <xdr:rowOff>0</xdr:rowOff>
                  </to>
                </anchor>
              </controlPr>
            </control>
          </mc:Choice>
        </mc:AlternateContent>
        <mc:AlternateContent xmlns:mc="http://schemas.openxmlformats.org/markup-compatibility/2006">
          <mc:Choice Requires="x14">
            <control shapeId="18471" r:id="rId28" name="Button 39">
              <controlPr defaultSize="0" print="0" autoFill="0" autoPict="0" macro="[0]!Vymaz_1">
                <anchor moveWithCells="1" sizeWithCells="1">
                  <from>
                    <xdr:col>46</xdr:col>
                    <xdr:colOff>0</xdr:colOff>
                    <xdr:row>0</xdr:row>
                    <xdr:rowOff>76200</xdr:rowOff>
                  </from>
                  <to>
                    <xdr:col>57</xdr:col>
                    <xdr:colOff>60960</xdr:colOff>
                    <xdr:row>2</xdr:row>
                    <xdr:rowOff>99060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5">
    <tabColor rgb="FFC00000"/>
  </sheetPr>
  <dimension ref="A1:BM89"/>
  <sheetViews>
    <sheetView zoomScale="110" zoomScaleNormal="110" workbookViewId="0">
      <pane ySplit="3" topLeftCell="A4" activePane="bottomLeft" state="frozen"/>
      <selection activeCell="D17" sqref="D17:BC18"/>
      <selection pane="bottomLeft" activeCell="C38" sqref="C38:BD38"/>
    </sheetView>
  </sheetViews>
  <sheetFormatPr defaultColWidth="9.109375" defaultRowHeight="13.8"/>
  <cols>
    <col min="1" max="1" width="3.6640625" style="684" customWidth="1"/>
    <col min="2" max="2" width="0.6640625" style="684" customWidth="1"/>
    <col min="3" max="56" width="1.88671875" style="684" customWidth="1"/>
    <col min="57" max="57" width="0.6640625" style="684" customWidth="1"/>
    <col min="58" max="58" width="3.33203125" style="684" customWidth="1"/>
    <col min="59" max="62" width="7.6640625" style="1022" hidden="1" customWidth="1"/>
    <col min="63" max="63" width="7.6640625" style="927" customWidth="1"/>
    <col min="64" max="65" width="7.6640625" style="684" customWidth="1"/>
    <col min="66" max="16384" width="9.109375" style="684"/>
  </cols>
  <sheetData>
    <row r="1" spans="1:65">
      <c r="A1" s="631"/>
      <c r="B1" s="631"/>
      <c r="C1" s="631"/>
      <c r="D1" s="631"/>
      <c r="E1" s="631"/>
      <c r="F1" s="631"/>
      <c r="G1" s="631"/>
      <c r="H1" s="631"/>
      <c r="I1" s="631"/>
      <c r="J1" s="631"/>
      <c r="K1" s="631"/>
      <c r="L1" s="631"/>
      <c r="M1" s="631"/>
      <c r="N1" s="631"/>
      <c r="O1" s="631"/>
      <c r="P1" s="631"/>
      <c r="Q1" s="631"/>
      <c r="R1" s="631"/>
      <c r="S1" s="631"/>
      <c r="T1" s="631"/>
      <c r="U1" s="631"/>
      <c r="V1" s="631"/>
      <c r="W1" s="631"/>
      <c r="X1" s="631"/>
      <c r="Y1" s="631"/>
      <c r="Z1" s="631"/>
      <c r="AA1" s="631"/>
      <c r="AB1" s="631"/>
      <c r="AC1" s="631"/>
      <c r="AD1" s="631"/>
      <c r="AE1" s="631"/>
      <c r="AF1" s="631"/>
      <c r="AG1" s="631"/>
      <c r="AH1" s="631"/>
      <c r="AI1" s="631"/>
      <c r="AJ1" s="631"/>
      <c r="AK1" s="631"/>
      <c r="AL1" s="631"/>
      <c r="AM1" s="631"/>
      <c r="AN1" s="631"/>
      <c r="AO1" s="631"/>
      <c r="AP1" s="631"/>
      <c r="AQ1" s="631"/>
      <c r="AR1" s="631"/>
      <c r="AS1" s="631"/>
      <c r="AT1" s="631"/>
      <c r="AU1" s="631"/>
      <c r="AV1" s="631"/>
      <c r="AW1" s="631"/>
      <c r="AX1" s="631"/>
      <c r="AY1" s="631"/>
      <c r="AZ1" s="631"/>
      <c r="BA1" s="631"/>
      <c r="BB1" s="631"/>
      <c r="BC1" s="631"/>
      <c r="BD1" s="631"/>
      <c r="BE1" s="631"/>
    </row>
    <row r="2" spans="1:65" ht="18">
      <c r="A2" s="631"/>
      <c r="B2" s="631"/>
      <c r="C2" s="631"/>
      <c r="D2" s="631"/>
      <c r="E2" s="631"/>
      <c r="F2" s="631"/>
      <c r="G2" s="631"/>
      <c r="H2" s="631"/>
      <c r="I2" s="631"/>
      <c r="J2" s="631"/>
      <c r="K2" s="631"/>
      <c r="L2" s="631"/>
      <c r="M2" s="631"/>
      <c r="N2" s="631"/>
      <c r="O2" s="631"/>
      <c r="P2" s="631"/>
      <c r="Q2" s="631"/>
      <c r="R2" s="631"/>
      <c r="S2" s="631"/>
      <c r="T2" s="631"/>
      <c r="U2" s="631"/>
      <c r="V2" s="631"/>
      <c r="W2" s="631"/>
      <c r="X2" s="631"/>
      <c r="Y2" s="631"/>
      <c r="Z2" s="631"/>
      <c r="AA2" s="631"/>
      <c r="AB2" s="631"/>
      <c r="AC2" s="631"/>
      <c r="AD2" s="631"/>
      <c r="AE2" s="631"/>
      <c r="AF2" s="631"/>
      <c r="AG2" s="631"/>
      <c r="AH2" s="631"/>
      <c r="AI2" s="631"/>
      <c r="AJ2" s="631"/>
      <c r="AK2" s="631"/>
      <c r="AL2" s="925" t="str">
        <f>IF(COUNTBLANK(BK4:BK23)&lt;20,"CHYBA!","O.K.")</f>
        <v>O.K.</v>
      </c>
      <c r="AM2" s="631"/>
      <c r="AN2" s="631"/>
      <c r="AO2" s="631"/>
      <c r="AP2" s="631"/>
      <c r="AQ2" s="631"/>
      <c r="AR2" s="631"/>
      <c r="AS2" s="631"/>
      <c r="AT2" s="631"/>
      <c r="AU2" s="631"/>
      <c r="AV2" s="631"/>
      <c r="AW2" s="631"/>
      <c r="AX2" s="631"/>
      <c r="AY2" s="631"/>
      <c r="AZ2" s="631"/>
      <c r="BA2" s="631"/>
      <c r="BB2" s="631"/>
      <c r="BC2" s="631"/>
      <c r="BD2" s="631"/>
      <c r="BE2" s="631"/>
    </row>
    <row r="3" spans="1:65">
      <c r="A3" s="631"/>
      <c r="B3" s="631"/>
      <c r="C3" s="631"/>
      <c r="D3" s="631"/>
      <c r="E3" s="631"/>
      <c r="F3" s="631"/>
      <c r="G3" s="631"/>
      <c r="H3" s="631"/>
      <c r="I3" s="631"/>
      <c r="J3" s="631"/>
      <c r="K3" s="631"/>
      <c r="L3" s="631"/>
      <c r="M3" s="631"/>
      <c r="N3" s="631"/>
      <c r="O3" s="631"/>
      <c r="P3" s="631"/>
      <c r="Q3" s="631"/>
      <c r="R3" s="631"/>
      <c r="S3" s="631"/>
      <c r="T3" s="631"/>
      <c r="U3" s="631"/>
      <c r="V3" s="631"/>
      <c r="W3" s="631"/>
      <c r="X3" s="631"/>
      <c r="Y3" s="631"/>
      <c r="Z3" s="631"/>
      <c r="AA3" s="631"/>
      <c r="AB3" s="631"/>
      <c r="AC3" s="631"/>
      <c r="AD3" s="631"/>
      <c r="AE3" s="631"/>
      <c r="AF3" s="631"/>
      <c r="AG3" s="631"/>
      <c r="AH3" s="631"/>
      <c r="AI3" s="631"/>
      <c r="AJ3" s="631"/>
      <c r="AK3" s="631"/>
      <c r="AL3" s="631"/>
      <c r="AM3" s="631"/>
      <c r="AN3" s="631"/>
      <c r="AO3" s="631"/>
      <c r="AP3" s="631"/>
      <c r="AQ3" s="631"/>
      <c r="AR3" s="631"/>
      <c r="AS3" s="631"/>
      <c r="AT3" s="631"/>
      <c r="AU3" s="631"/>
      <c r="AV3" s="631"/>
      <c r="AW3" s="631"/>
      <c r="AX3" s="631"/>
      <c r="AY3" s="631"/>
      <c r="AZ3" s="631"/>
      <c r="BA3" s="631"/>
      <c r="BB3" s="631"/>
      <c r="BC3" s="631"/>
      <c r="BD3" s="631"/>
      <c r="BE3" s="631"/>
    </row>
    <row r="4" spans="1:65" ht="14.4" thickBot="1">
      <c r="A4" s="631"/>
      <c r="B4" s="631"/>
      <c r="C4" s="631"/>
      <c r="D4" s="631"/>
      <c r="E4" s="631"/>
      <c r="F4" s="631"/>
      <c r="G4" s="631"/>
      <c r="H4" s="631"/>
      <c r="I4" s="631"/>
      <c r="J4" s="631"/>
      <c r="K4" s="631"/>
      <c r="L4" s="631"/>
      <c r="M4" s="631"/>
      <c r="N4" s="631"/>
      <c r="O4" s="631"/>
      <c r="P4" s="631"/>
      <c r="Q4" s="631"/>
      <c r="R4" s="631"/>
      <c r="S4" s="631"/>
      <c r="T4" s="631"/>
      <c r="U4" s="631"/>
      <c r="V4" s="631"/>
      <c r="W4" s="631"/>
      <c r="X4" s="631"/>
      <c r="Y4" s="631"/>
      <c r="Z4" s="631"/>
      <c r="AA4" s="631"/>
      <c r="AB4" s="631"/>
      <c r="AC4" s="631"/>
      <c r="AD4" s="631"/>
      <c r="AE4" s="631"/>
      <c r="AF4" s="631"/>
      <c r="AG4" s="631"/>
      <c r="AH4" s="631"/>
      <c r="AI4" s="631"/>
      <c r="AJ4" s="631"/>
      <c r="AK4" s="631"/>
      <c r="AL4" s="631"/>
      <c r="AM4" s="631"/>
      <c r="AN4" s="631"/>
      <c r="AO4" s="631"/>
      <c r="AP4" s="631"/>
      <c r="AQ4" s="631"/>
      <c r="AR4" s="631"/>
      <c r="AS4" s="631"/>
      <c r="AT4" s="631"/>
      <c r="AU4" s="631"/>
      <c r="AV4" s="631"/>
      <c r="AW4" s="631"/>
      <c r="AX4" s="631"/>
      <c r="AY4" s="631"/>
      <c r="AZ4" s="631"/>
      <c r="BA4" s="631"/>
      <c r="BB4" s="631"/>
      <c r="BC4" s="631"/>
      <c r="BD4" s="631"/>
      <c r="BE4" s="631"/>
      <c r="BG4" s="1254"/>
      <c r="BK4" s="927" t="str">
        <f>IF(OR(BG6=TRUE,BH6=TRUE,BI6=TRUE),"PRE UVEDENÉ DIEŤA/DETI POISTENIE NIE JE MOŽNÉ DOJEDNAŤ! SÚ VYLÚČENÉ Z VPP UI!","")</f>
        <v/>
      </c>
    </row>
    <row r="5" spans="1:65" ht="15" thickBot="1">
      <c r="A5" s="631"/>
      <c r="B5" s="816"/>
      <c r="C5" s="739" t="s">
        <v>820</v>
      </c>
      <c r="D5" s="817"/>
      <c r="E5" s="817"/>
      <c r="F5" s="817"/>
      <c r="G5" s="817"/>
      <c r="H5" s="817"/>
      <c r="I5" s="817"/>
      <c r="J5" s="817"/>
      <c r="K5" s="817"/>
      <c r="L5" s="817"/>
      <c r="M5" s="817"/>
      <c r="N5" s="817"/>
      <c r="O5" s="817"/>
      <c r="P5" s="817"/>
      <c r="Q5" s="817"/>
      <c r="R5" s="817"/>
      <c r="S5" s="817"/>
      <c r="T5" s="817"/>
      <c r="U5" s="817"/>
      <c r="V5" s="817"/>
      <c r="W5" s="817"/>
      <c r="X5" s="817"/>
      <c r="Y5" s="817"/>
      <c r="Z5" s="817"/>
      <c r="AA5" s="817"/>
      <c r="AB5" s="817"/>
      <c r="AC5" s="817"/>
      <c r="AD5" s="817"/>
      <c r="AE5" s="817"/>
      <c r="AF5" s="817"/>
      <c r="AG5" s="817"/>
      <c r="AH5" s="817"/>
      <c r="AI5" s="817"/>
      <c r="AJ5" s="817"/>
      <c r="AK5" s="817"/>
      <c r="AL5" s="817"/>
      <c r="AM5" s="817"/>
      <c r="AN5" s="817"/>
      <c r="AO5" s="817"/>
      <c r="AP5" s="817"/>
      <c r="AQ5" s="817"/>
      <c r="AR5" s="817"/>
      <c r="AS5" s="817"/>
      <c r="AT5" s="817"/>
      <c r="AU5" s="817"/>
      <c r="AV5" s="817"/>
      <c r="AW5" s="817"/>
      <c r="AX5" s="817"/>
      <c r="AY5" s="817"/>
      <c r="AZ5" s="817"/>
      <c r="BA5" s="817"/>
      <c r="BB5" s="817"/>
      <c r="BC5" s="817"/>
      <c r="BD5" s="817"/>
      <c r="BE5" s="818"/>
      <c r="BF5" s="631"/>
      <c r="BK5" s="976"/>
      <c r="BM5" s="1256" t="str">
        <f>IF(pocetdeti=0,"Nevypĺňať túto časť!","")</f>
        <v>Nevypĺňať túto časť!</v>
      </c>
    </row>
    <row r="6" spans="1:65" ht="14.4">
      <c r="A6" s="631"/>
      <c r="B6" s="1472" t="s">
        <v>821</v>
      </c>
      <c r="C6" s="1473"/>
      <c r="D6" s="1482" t="s">
        <v>837</v>
      </c>
      <c r="E6" s="1482"/>
      <c r="F6" s="1482"/>
      <c r="G6" s="1482"/>
      <c r="H6" s="1482"/>
      <c r="I6" s="1482"/>
      <c r="J6" s="1482"/>
      <c r="K6" s="1482"/>
      <c r="L6" s="1482"/>
      <c r="M6" s="1482"/>
      <c r="N6" s="1482"/>
      <c r="O6" s="1482"/>
      <c r="P6" s="1482"/>
      <c r="Q6" s="1482"/>
      <c r="R6" s="1482"/>
      <c r="S6" s="1482"/>
      <c r="T6" s="1482"/>
      <c r="U6" s="1482"/>
      <c r="V6" s="1482"/>
      <c r="W6" s="1482"/>
      <c r="X6" s="1482"/>
      <c r="Y6" s="1482"/>
      <c r="Z6" s="1482"/>
      <c r="AA6" s="1482"/>
      <c r="AB6" s="1482"/>
      <c r="AC6" s="1482"/>
      <c r="AD6" s="1482"/>
      <c r="AE6" s="1482"/>
      <c r="AF6" s="1482"/>
      <c r="AG6" s="1482"/>
      <c r="AH6" s="1482"/>
      <c r="AI6" s="1482"/>
      <c r="AJ6" s="1482"/>
      <c r="AK6" s="1482"/>
      <c r="AL6" s="1482"/>
      <c r="AM6" s="1482"/>
      <c r="AN6" s="1482"/>
      <c r="AO6" s="1482"/>
      <c r="AP6" s="1482"/>
      <c r="AQ6" s="1482"/>
      <c r="AR6" s="1482"/>
      <c r="AS6" s="1482"/>
      <c r="AT6" s="1482"/>
      <c r="AU6" s="1482"/>
      <c r="AV6" s="1482"/>
      <c r="AW6" s="1482"/>
      <c r="AX6" s="1482"/>
      <c r="AY6" s="1482"/>
      <c r="AZ6" s="1482"/>
      <c r="BA6" s="1482"/>
      <c r="BB6" s="1482"/>
      <c r="BC6" s="1482"/>
      <c r="BD6" s="1482"/>
      <c r="BE6" s="821"/>
      <c r="BF6" s="631"/>
      <c r="BG6" s="1022" t="b">
        <v>0</v>
      </c>
      <c r="BH6" s="1022" t="b">
        <v>0</v>
      </c>
      <c r="BI6" s="1022" t="b">
        <v>0</v>
      </c>
      <c r="BK6" s="927" t="str">
        <f>IF(pocetdeti&gt;0,IF(AND(BG6=FALSE,BG7=FALSE,pocetdeti&gt;=1),"Pri dieťati D1 je potrebné uviesť ÁNO alebo NIE!",IF(AND(BG6=TRUE,BG7=TRUE,pocetdeti&gt;=1),"Pri dieťati D1 je potrebné uviesť iba jedno z ÁNO alebo NIE!",IF(AND(pocetdeti&gt;=2,BH6=FALSE,BH7=FALSE),"Pri dieťati D2 je potrebné uviesť ÁNO alebo NIE!",IF(AND(pocetdeti&gt;=2,BH6=TRUE,BH7=TRUE),"Pri dieťati D2 je potrebné uviesť iba jedno z ÁNO alebo NIE!",IF(AND(pocetdeti=3,BI6=FALSE,BI7=FALSE),"Pri dieťati D3 je potrebné uviesť ÁNO alebo NIE!",IF(AND(pocetdeti=3,BI6=TRUE,BI7=TRUE),"Pri dieťati D3 je potrebné uviesť iba jedno z ÁNO alebo NIE!","")))))),"")</f>
        <v/>
      </c>
    </row>
    <row r="7" spans="1:65" ht="14.4">
      <c r="A7" s="631"/>
      <c r="B7" s="773"/>
      <c r="C7" s="950"/>
      <c r="D7" s="1001" t="s">
        <v>889</v>
      </c>
      <c r="E7" s="775"/>
      <c r="F7" s="775"/>
      <c r="G7" s="775"/>
      <c r="H7" s="775"/>
      <c r="I7" s="775"/>
      <c r="J7" s="775"/>
      <c r="K7" s="775"/>
      <c r="L7" s="775"/>
      <c r="M7" s="823"/>
      <c r="N7" s="950"/>
      <c r="O7" s="840"/>
      <c r="P7" s="950" t="s">
        <v>822</v>
      </c>
      <c r="Q7" s="778"/>
      <c r="R7" s="778"/>
      <c r="S7" s="778" t="s">
        <v>709</v>
      </c>
      <c r="T7" s="776"/>
      <c r="U7" s="778"/>
      <c r="V7" s="778" t="s">
        <v>688</v>
      </c>
      <c r="W7" s="776"/>
      <c r="X7" s="776"/>
      <c r="Y7" s="776"/>
      <c r="Z7" s="776"/>
      <c r="AA7" s="950"/>
      <c r="AB7" s="950" t="s">
        <v>823</v>
      </c>
      <c r="AC7" s="840"/>
      <c r="AD7" s="776"/>
      <c r="AE7" s="778" t="s">
        <v>709</v>
      </c>
      <c r="AF7" s="776"/>
      <c r="AG7" s="776"/>
      <c r="AH7" s="778" t="s">
        <v>688</v>
      </c>
      <c r="AI7" s="775"/>
      <c r="AJ7" s="775"/>
      <c r="AK7" s="775"/>
      <c r="AL7" s="775"/>
      <c r="AM7" s="775"/>
      <c r="AN7" s="775"/>
      <c r="AO7" s="950" t="s">
        <v>824</v>
      </c>
      <c r="AP7" s="840"/>
      <c r="AQ7" s="775"/>
      <c r="AR7" s="778" t="s">
        <v>709</v>
      </c>
      <c r="AS7" s="775"/>
      <c r="AT7" s="775"/>
      <c r="AU7" s="778" t="s">
        <v>688</v>
      </c>
      <c r="AV7" s="775"/>
      <c r="AW7" s="775"/>
      <c r="AX7" s="775"/>
      <c r="AY7" s="775"/>
      <c r="AZ7" s="775"/>
      <c r="BA7" s="775"/>
      <c r="BB7" s="775"/>
      <c r="BC7" s="775"/>
      <c r="BD7" s="775"/>
      <c r="BE7" s="821"/>
      <c r="BF7" s="631"/>
      <c r="BG7" s="1022" t="b">
        <v>0</v>
      </c>
      <c r="BH7" s="1022" t="b">
        <v>0</v>
      </c>
      <c r="BI7" s="1022" t="b">
        <v>0</v>
      </c>
      <c r="BK7" s="927" t="str">
        <f>IF(AND(BK5="Nevypĺňať túto časť!",OR(BG6=TRUE,BG7=TRUE,BH6=TRUE,BH7=TRUE,BI6=TRUE,BI7=TRUE)),"Nevyplňať túto časť!","")</f>
        <v/>
      </c>
    </row>
    <row r="8" spans="1:65" ht="3" customHeight="1">
      <c r="A8" s="631"/>
      <c r="B8" s="773"/>
      <c r="C8" s="775"/>
      <c r="D8" s="775"/>
      <c r="E8" s="775"/>
      <c r="F8" s="775"/>
      <c r="G8" s="775"/>
      <c r="H8" s="775"/>
      <c r="I8" s="775"/>
      <c r="J8" s="775"/>
      <c r="K8" s="775"/>
      <c r="L8" s="775"/>
      <c r="M8" s="775"/>
      <c r="N8" s="775"/>
      <c r="O8" s="775"/>
      <c r="P8" s="775"/>
      <c r="Q8" s="775"/>
      <c r="R8" s="775"/>
      <c r="S8" s="775"/>
      <c r="T8" s="775"/>
      <c r="U8" s="775"/>
      <c r="V8" s="775"/>
      <c r="W8" s="775"/>
      <c r="X8" s="775"/>
      <c r="Y8" s="775"/>
      <c r="Z8" s="775"/>
      <c r="AA8" s="775"/>
      <c r="AB8" s="775"/>
      <c r="AC8" s="775"/>
      <c r="AD8" s="775"/>
      <c r="AE8" s="775"/>
      <c r="AF8" s="775"/>
      <c r="AG8" s="775"/>
      <c r="AH8" s="775"/>
      <c r="AI8" s="775"/>
      <c r="AJ8" s="775"/>
      <c r="AK8" s="775"/>
      <c r="AL8" s="775"/>
      <c r="AM8" s="775"/>
      <c r="AN8" s="775"/>
      <c r="AO8" s="775"/>
      <c r="AP8" s="775"/>
      <c r="AQ8" s="775"/>
      <c r="AR8" s="775"/>
      <c r="AS8" s="775"/>
      <c r="AT8" s="775"/>
      <c r="AU8" s="775"/>
      <c r="AV8" s="775"/>
      <c r="AW8" s="775"/>
      <c r="AX8" s="775"/>
      <c r="AY8" s="775"/>
      <c r="AZ8" s="775"/>
      <c r="BA8" s="775"/>
      <c r="BB8" s="775"/>
      <c r="BC8" s="775"/>
      <c r="BD8" s="775"/>
      <c r="BE8" s="821"/>
      <c r="BF8" s="631"/>
    </row>
    <row r="9" spans="1:65" ht="14.4">
      <c r="A9" s="631"/>
      <c r="B9" s="1474" t="s">
        <v>825</v>
      </c>
      <c r="C9" s="1475"/>
      <c r="D9" s="1483" t="s">
        <v>838</v>
      </c>
      <c r="E9" s="1483"/>
      <c r="F9" s="1483"/>
      <c r="G9" s="1483"/>
      <c r="H9" s="1483"/>
      <c r="I9" s="1483"/>
      <c r="J9" s="1483"/>
      <c r="K9" s="1483"/>
      <c r="L9" s="1483"/>
      <c r="M9" s="1483"/>
      <c r="N9" s="1483"/>
      <c r="O9" s="1483"/>
      <c r="P9" s="1483"/>
      <c r="Q9" s="1483"/>
      <c r="R9" s="1483"/>
      <c r="S9" s="1483"/>
      <c r="T9" s="1483"/>
      <c r="U9" s="1483"/>
      <c r="V9" s="1483"/>
      <c r="W9" s="1483"/>
      <c r="X9" s="1483"/>
      <c r="Y9" s="1483"/>
      <c r="Z9" s="1483"/>
      <c r="AA9" s="1483"/>
      <c r="AB9" s="1483"/>
      <c r="AC9" s="1483"/>
      <c r="AD9" s="1483"/>
      <c r="AE9" s="1483"/>
      <c r="AF9" s="1483"/>
      <c r="AG9" s="1483"/>
      <c r="AH9" s="1483"/>
      <c r="AI9" s="1483"/>
      <c r="AJ9" s="1483"/>
      <c r="AK9" s="1483"/>
      <c r="AL9" s="1483"/>
      <c r="AM9" s="1483"/>
      <c r="AN9" s="1483"/>
      <c r="AO9" s="1483"/>
      <c r="AP9" s="1483"/>
      <c r="AQ9" s="1483"/>
      <c r="AR9" s="1483"/>
      <c r="AS9" s="1483"/>
      <c r="AT9" s="1483"/>
      <c r="AU9" s="1483"/>
      <c r="AV9" s="1483"/>
      <c r="AW9" s="1483"/>
      <c r="AX9" s="1483"/>
      <c r="AY9" s="1483"/>
      <c r="AZ9" s="1483"/>
      <c r="BA9" s="1483"/>
      <c r="BB9" s="1483"/>
      <c r="BC9" s="1483"/>
      <c r="BD9" s="1483"/>
      <c r="BE9" s="821"/>
      <c r="BF9" s="631"/>
      <c r="BG9" s="1022" t="b">
        <v>0</v>
      </c>
      <c r="BH9" s="1022" t="b">
        <v>0</v>
      </c>
      <c r="BI9" s="1022" t="b">
        <v>0</v>
      </c>
      <c r="BK9" s="927" t="str">
        <f>IF(pocetdeti&gt;0,IF(AND(BG9=FALSE,BG10=FALSE,pocetdeti&gt;=1),"Pri dieťati D1 je potrebné uviesť ÁNO alebo NIE!",IF(AND(BG9=TRUE,BG10=TRUE,pocetdeti&gt;=1),"Pri dieťati D1 je potrebné uviesť iba jedno z ÁNO alebo NIE!",IF(AND(pocetdeti&gt;=2,BH9=FALSE,BH10=FALSE),"Pri dieťati D2 je potrebné uviesť ÁNO alebo NIE!",IF(AND(pocetdeti&gt;=2,BH9=TRUE,BH10=TRUE),"Pri dieťati D2 je potrebné uviesť iba jedno z ÁNO alebo NIE!",IF(AND(pocetdeti=3,BI9=FALSE,BI10=FALSE),"Pri dieťati D3 je potrebné uviesť ÁNO alebo NIE!",IF(AND(pocetdeti=3,BI9=TRUE,BI10=TRUE),"Pri dieťati D3 je potrebné uviesť iba jedno z ÁNO alebo NIE!","")))))),IF(AND(pocetdeti=1,OR(OR(BH9=TRUE,BH10=TRUE),OR(BI9=TRUE,BI10=TRUE))),"Vyplniť iba pre dieťa D1!",IF(AND(pocetdeti=2,OR(BI9=TRUE,BI10=TRUE)),"Vyplniť iba pre dieťa D1 a dieťa D2!","")))</f>
        <v/>
      </c>
    </row>
    <row r="10" spans="1:65">
      <c r="A10" s="631"/>
      <c r="B10" s="918"/>
      <c r="C10" s="950"/>
      <c r="D10" s="1001" t="s">
        <v>890</v>
      </c>
      <c r="E10" s="776"/>
      <c r="F10" s="776"/>
      <c r="G10" s="776"/>
      <c r="H10" s="776"/>
      <c r="I10" s="776"/>
      <c r="J10" s="776"/>
      <c r="K10" s="776"/>
      <c r="L10" s="776"/>
      <c r="M10" s="776"/>
      <c r="N10" s="950"/>
      <c r="O10" s="950"/>
      <c r="P10" s="950" t="s">
        <v>822</v>
      </c>
      <c r="Q10" s="778"/>
      <c r="R10" s="778"/>
      <c r="S10" s="778" t="s">
        <v>709</v>
      </c>
      <c r="T10" s="776"/>
      <c r="U10" s="778"/>
      <c r="V10" s="778" t="s">
        <v>688</v>
      </c>
      <c r="W10" s="776"/>
      <c r="X10" s="776"/>
      <c r="Y10" s="776"/>
      <c r="Z10" s="776"/>
      <c r="AA10" s="950"/>
      <c r="AB10" s="950" t="s">
        <v>823</v>
      </c>
      <c r="AC10" s="840"/>
      <c r="AD10" s="776"/>
      <c r="AE10" s="778" t="s">
        <v>709</v>
      </c>
      <c r="AF10" s="776"/>
      <c r="AG10" s="776"/>
      <c r="AH10" s="778" t="s">
        <v>688</v>
      </c>
      <c r="AI10" s="776"/>
      <c r="AJ10" s="776"/>
      <c r="AK10" s="776"/>
      <c r="AL10" s="776"/>
      <c r="AM10" s="776"/>
      <c r="AN10" s="776"/>
      <c r="AO10" s="950" t="s">
        <v>824</v>
      </c>
      <c r="AP10" s="840"/>
      <c r="AQ10" s="776"/>
      <c r="AR10" s="778" t="s">
        <v>709</v>
      </c>
      <c r="AS10" s="776"/>
      <c r="AT10" s="776"/>
      <c r="AU10" s="778" t="s">
        <v>688</v>
      </c>
      <c r="AV10" s="776"/>
      <c r="AW10" s="776"/>
      <c r="AX10" s="776"/>
      <c r="AY10" s="776"/>
      <c r="AZ10" s="776"/>
      <c r="BA10" s="776"/>
      <c r="BB10" s="776"/>
      <c r="BC10" s="776"/>
      <c r="BD10" s="776"/>
      <c r="BE10" s="919"/>
      <c r="BF10" s="912"/>
      <c r="BG10" s="1029" t="b">
        <v>0</v>
      </c>
      <c r="BH10" s="1029" t="b">
        <v>0</v>
      </c>
      <c r="BI10" s="1029" t="b">
        <v>0</v>
      </c>
      <c r="BK10" s="927" t="str">
        <f>IF(AND(pocetdeti=1,OR(OR(BH9=TRUE,BH10=TRUE),OR(BI9=TRUE,BI10=TRUE))),"Vyplniť iba pre dieťa D1!",IF(AND(pocetdeti=2,OR(BI9=TRUE,BI10=TRUE)),"Vyplniť iba pre dieťa D1 a dieťa D2!",""))</f>
        <v/>
      </c>
    </row>
    <row r="11" spans="1:65" ht="3" customHeight="1">
      <c r="A11" s="631"/>
      <c r="B11" s="773"/>
      <c r="C11" s="775"/>
      <c r="D11" s="775"/>
      <c r="E11" s="775"/>
      <c r="F11" s="775"/>
      <c r="G11" s="775"/>
      <c r="H11" s="775"/>
      <c r="I11" s="775"/>
      <c r="J11" s="775"/>
      <c r="K11" s="775"/>
      <c r="L11" s="775"/>
      <c r="M11" s="775"/>
      <c r="N11" s="775"/>
      <c r="O11" s="775"/>
      <c r="P11" s="775"/>
      <c r="Q11" s="775"/>
      <c r="R11" s="775"/>
      <c r="S11" s="775"/>
      <c r="T11" s="775"/>
      <c r="U11" s="775"/>
      <c r="V11" s="775"/>
      <c r="W11" s="775"/>
      <c r="X11" s="775"/>
      <c r="Y11" s="775"/>
      <c r="Z11" s="775"/>
      <c r="AA11" s="775"/>
      <c r="AB11" s="775"/>
      <c r="AC11" s="775"/>
      <c r="AD11" s="775"/>
      <c r="AE11" s="775"/>
      <c r="AF11" s="775"/>
      <c r="AG11" s="775"/>
      <c r="AH11" s="775"/>
      <c r="AI11" s="775"/>
      <c r="AJ11" s="775"/>
      <c r="AK11" s="775"/>
      <c r="AL11" s="775"/>
      <c r="AM11" s="775"/>
      <c r="AN11" s="775"/>
      <c r="AO11" s="775"/>
      <c r="AP11" s="775"/>
      <c r="AQ11" s="775"/>
      <c r="AR11" s="775"/>
      <c r="AS11" s="775"/>
      <c r="AT11" s="775"/>
      <c r="AU11" s="775"/>
      <c r="AV11" s="775"/>
      <c r="AW11" s="775"/>
      <c r="AX11" s="775"/>
      <c r="AY11" s="775"/>
      <c r="AZ11" s="775"/>
      <c r="BA11" s="775"/>
      <c r="BB11" s="775"/>
      <c r="BC11" s="775"/>
      <c r="BD11" s="775"/>
      <c r="BE11" s="821"/>
      <c r="BF11" s="631"/>
    </row>
    <row r="12" spans="1:65" ht="14.4" customHeight="1">
      <c r="A12" s="631"/>
      <c r="B12" s="800"/>
      <c r="C12" s="801"/>
      <c r="D12" s="835" t="s">
        <v>826</v>
      </c>
      <c r="E12" s="834"/>
      <c r="F12" s="834"/>
      <c r="G12" s="841"/>
      <c r="H12" s="834" t="s">
        <v>827</v>
      </c>
      <c r="I12" s="834"/>
      <c r="J12" s="834"/>
      <c r="K12" s="834"/>
      <c r="L12" s="834"/>
      <c r="M12" s="834"/>
      <c r="N12" s="834"/>
      <c r="O12" s="841"/>
      <c r="P12" s="834" t="s">
        <v>828</v>
      </c>
      <c r="Q12" s="834"/>
      <c r="R12" s="834"/>
      <c r="S12" s="834"/>
      <c r="T12" s="834"/>
      <c r="U12" s="834"/>
      <c r="V12" s="834"/>
      <c r="W12" s="834"/>
      <c r="X12" s="834"/>
      <c r="Y12" s="834"/>
      <c r="Z12" s="834"/>
      <c r="AA12" s="834"/>
      <c r="AB12" s="834"/>
      <c r="AC12" s="834"/>
      <c r="AD12" s="834"/>
      <c r="AE12" s="834"/>
      <c r="AF12" s="834"/>
      <c r="AG12" s="841"/>
      <c r="AH12" s="834" t="s">
        <v>829</v>
      </c>
      <c r="AI12" s="834"/>
      <c r="AJ12" s="834"/>
      <c r="AK12" s="834"/>
      <c r="AL12" s="834"/>
      <c r="AM12" s="834"/>
      <c r="AN12" s="834"/>
      <c r="AO12" s="834"/>
      <c r="AP12" s="834"/>
      <c r="AQ12" s="834"/>
      <c r="AR12" s="834"/>
      <c r="AS12" s="834"/>
      <c r="AT12" s="834"/>
      <c r="AU12" s="834"/>
      <c r="AV12" s="834"/>
      <c r="AW12" s="834"/>
      <c r="AX12" s="834"/>
      <c r="AY12" s="834"/>
      <c r="AZ12" s="834"/>
      <c r="BA12" s="834"/>
      <c r="BB12" s="834"/>
      <c r="BC12" s="841"/>
      <c r="BD12" s="778"/>
      <c r="BE12" s="821"/>
      <c r="BF12" s="631"/>
      <c r="BK12" s="927" t="str">
        <f>IF(AND(BK5="Nevypĺňať túto časť!",OR(BG9=TRUE,BG10=TRUE,BH9=TRUE,BH10=TRUE,BI9=TRUE,BI10=TRUE)),"Nevyplňať túto časť!","")</f>
        <v/>
      </c>
    </row>
    <row r="13" spans="1:65" ht="10.5" customHeight="1">
      <c r="A13" s="631"/>
      <c r="B13" s="800"/>
      <c r="C13" s="801"/>
      <c r="D13" s="1476"/>
      <c r="E13" s="1477"/>
      <c r="F13" s="1477"/>
      <c r="G13" s="1478"/>
      <c r="H13" s="1479"/>
      <c r="I13" s="1480"/>
      <c r="J13" s="1480"/>
      <c r="K13" s="1480"/>
      <c r="L13" s="1480"/>
      <c r="M13" s="1480"/>
      <c r="N13" s="1480"/>
      <c r="O13" s="1481"/>
      <c r="P13" s="1479"/>
      <c r="Q13" s="1480"/>
      <c r="R13" s="1480"/>
      <c r="S13" s="1480"/>
      <c r="T13" s="1480"/>
      <c r="U13" s="1480"/>
      <c r="V13" s="1480"/>
      <c r="W13" s="1480"/>
      <c r="X13" s="1480"/>
      <c r="Y13" s="1480"/>
      <c r="Z13" s="1480"/>
      <c r="AA13" s="1480"/>
      <c r="AB13" s="1480"/>
      <c r="AC13" s="1480"/>
      <c r="AD13" s="1480"/>
      <c r="AE13" s="1480"/>
      <c r="AF13" s="1480"/>
      <c r="AG13" s="1481"/>
      <c r="AH13" s="1479"/>
      <c r="AI13" s="1480"/>
      <c r="AJ13" s="1480"/>
      <c r="AK13" s="1480"/>
      <c r="AL13" s="1480"/>
      <c r="AM13" s="1480"/>
      <c r="AN13" s="1480"/>
      <c r="AO13" s="1480"/>
      <c r="AP13" s="1480"/>
      <c r="AQ13" s="1480"/>
      <c r="AR13" s="1480"/>
      <c r="AS13" s="1480"/>
      <c r="AT13" s="1480"/>
      <c r="AU13" s="1480"/>
      <c r="AV13" s="1480"/>
      <c r="AW13" s="1480"/>
      <c r="AX13" s="1480"/>
      <c r="AY13" s="1480"/>
      <c r="AZ13" s="1480"/>
      <c r="BA13" s="1480"/>
      <c r="BB13" s="1480"/>
      <c r="BC13" s="1481"/>
      <c r="BD13" s="778"/>
      <c r="BE13" s="821"/>
      <c r="BF13" s="631"/>
      <c r="BK13" s="927" t="str">
        <f>IF(AND(OR(BG9=TRUE,BH9=TRUE,BI9=TRUE),OR(H13="",P13="",AH13="")),"Vyplňte aj druhú časť otázky!",IF(AND(AND(BG10=TRUE,BH10=TRUE,BI10=TRUE),OR(H13&lt;&gt;"",P13&lt;&gt;"",AH13&lt;&gt;"")),"Pri zápornej odpovedi nevypisovať druhú časť otázky!",""))</f>
        <v/>
      </c>
    </row>
    <row r="14" spans="1:65" ht="10.5" customHeight="1">
      <c r="A14" s="631"/>
      <c r="B14" s="800"/>
      <c r="C14" s="801"/>
      <c r="D14" s="1476"/>
      <c r="E14" s="1477"/>
      <c r="F14" s="1477"/>
      <c r="G14" s="1478"/>
      <c r="H14" s="1479"/>
      <c r="I14" s="1480"/>
      <c r="J14" s="1480"/>
      <c r="K14" s="1480"/>
      <c r="L14" s="1480"/>
      <c r="M14" s="1480"/>
      <c r="N14" s="1480"/>
      <c r="O14" s="1481"/>
      <c r="P14" s="1479"/>
      <c r="Q14" s="1480"/>
      <c r="R14" s="1480"/>
      <c r="S14" s="1480"/>
      <c r="T14" s="1480"/>
      <c r="U14" s="1480"/>
      <c r="V14" s="1480"/>
      <c r="W14" s="1480"/>
      <c r="X14" s="1480"/>
      <c r="Y14" s="1480"/>
      <c r="Z14" s="1480"/>
      <c r="AA14" s="1480"/>
      <c r="AB14" s="1480"/>
      <c r="AC14" s="1480"/>
      <c r="AD14" s="1480"/>
      <c r="AE14" s="1480"/>
      <c r="AF14" s="1480"/>
      <c r="AG14" s="1481"/>
      <c r="AH14" s="1479"/>
      <c r="AI14" s="1480"/>
      <c r="AJ14" s="1480"/>
      <c r="AK14" s="1480"/>
      <c r="AL14" s="1480"/>
      <c r="AM14" s="1480"/>
      <c r="AN14" s="1480"/>
      <c r="AO14" s="1480"/>
      <c r="AP14" s="1480"/>
      <c r="AQ14" s="1480"/>
      <c r="AR14" s="1480"/>
      <c r="AS14" s="1480"/>
      <c r="AT14" s="1480"/>
      <c r="AU14" s="1480"/>
      <c r="AV14" s="1480"/>
      <c r="AW14" s="1480"/>
      <c r="AX14" s="1480"/>
      <c r="AY14" s="1480"/>
      <c r="AZ14" s="1480"/>
      <c r="BA14" s="1480"/>
      <c r="BB14" s="1480"/>
      <c r="BC14" s="1481"/>
      <c r="BD14" s="778"/>
      <c r="BE14" s="821"/>
      <c r="BF14" s="631"/>
      <c r="BK14" s="927" t="str">
        <f>IF(AND(AND(BG10=TRUE,BH10=TRUE,BI10=TRUE),OR(H14&lt;&gt;"",P14&lt;&gt;"",AH14&lt;&gt;"")),"Pri zápornej odpovedi nevypisovať druhú časť otázky!","")</f>
        <v/>
      </c>
    </row>
    <row r="15" spans="1:65" ht="10.5" customHeight="1">
      <c r="A15" s="631"/>
      <c r="B15" s="800"/>
      <c r="C15" s="801"/>
      <c r="D15" s="1476"/>
      <c r="E15" s="1477"/>
      <c r="F15" s="1477"/>
      <c r="G15" s="1478"/>
      <c r="H15" s="1479"/>
      <c r="I15" s="1480"/>
      <c r="J15" s="1480"/>
      <c r="K15" s="1480"/>
      <c r="L15" s="1480"/>
      <c r="M15" s="1480"/>
      <c r="N15" s="1480"/>
      <c r="O15" s="1481"/>
      <c r="P15" s="1479"/>
      <c r="Q15" s="1480"/>
      <c r="R15" s="1480"/>
      <c r="S15" s="1480"/>
      <c r="T15" s="1480"/>
      <c r="U15" s="1480"/>
      <c r="V15" s="1480"/>
      <c r="W15" s="1480"/>
      <c r="X15" s="1480"/>
      <c r="Y15" s="1480"/>
      <c r="Z15" s="1480"/>
      <c r="AA15" s="1480"/>
      <c r="AB15" s="1480"/>
      <c r="AC15" s="1480"/>
      <c r="AD15" s="1480"/>
      <c r="AE15" s="1480"/>
      <c r="AF15" s="1480"/>
      <c r="AG15" s="1481"/>
      <c r="AH15" s="1479"/>
      <c r="AI15" s="1480"/>
      <c r="AJ15" s="1480"/>
      <c r="AK15" s="1480"/>
      <c r="AL15" s="1480"/>
      <c r="AM15" s="1480"/>
      <c r="AN15" s="1480"/>
      <c r="AO15" s="1480"/>
      <c r="AP15" s="1480"/>
      <c r="AQ15" s="1480"/>
      <c r="AR15" s="1480"/>
      <c r="AS15" s="1480"/>
      <c r="AT15" s="1480"/>
      <c r="AU15" s="1480"/>
      <c r="AV15" s="1480"/>
      <c r="AW15" s="1480"/>
      <c r="AX15" s="1480"/>
      <c r="AY15" s="1480"/>
      <c r="AZ15" s="1480"/>
      <c r="BA15" s="1480"/>
      <c r="BB15" s="1480"/>
      <c r="BC15" s="1481"/>
      <c r="BD15" s="778"/>
      <c r="BE15" s="821"/>
      <c r="BF15" s="631"/>
      <c r="BK15" s="927" t="str">
        <f>IF(AND(AND(BG10=TRUE,BH10=TRUE,BI10=TRUE),OR(H15&lt;&gt;"",P15&lt;&gt;"",AH15&lt;&gt;"")),"Pri zápornej odpovedi nevypisovať druhú časť otázky!","")</f>
        <v/>
      </c>
    </row>
    <row r="16" spans="1:65" ht="3" customHeight="1" thickBot="1">
      <c r="A16" s="631"/>
      <c r="B16" s="779"/>
      <c r="C16" s="745"/>
      <c r="D16" s="745"/>
      <c r="E16" s="745"/>
      <c r="F16" s="745"/>
      <c r="G16" s="745"/>
      <c r="H16" s="745"/>
      <c r="I16" s="745"/>
      <c r="J16" s="745"/>
      <c r="K16" s="745"/>
      <c r="L16" s="745"/>
      <c r="M16" s="745"/>
      <c r="N16" s="745"/>
      <c r="O16" s="745"/>
      <c r="P16" s="745"/>
      <c r="Q16" s="745"/>
      <c r="R16" s="745"/>
      <c r="S16" s="745"/>
      <c r="T16" s="745"/>
      <c r="U16" s="745"/>
      <c r="V16" s="745"/>
      <c r="W16" s="745"/>
      <c r="X16" s="745"/>
      <c r="Y16" s="745"/>
      <c r="Z16" s="745"/>
      <c r="AA16" s="745"/>
      <c r="AB16" s="745"/>
      <c r="AC16" s="745"/>
      <c r="AD16" s="745"/>
      <c r="AE16" s="745"/>
      <c r="AF16" s="745"/>
      <c r="AG16" s="745"/>
      <c r="AH16" s="745"/>
      <c r="AI16" s="745"/>
      <c r="AJ16" s="745"/>
      <c r="AK16" s="745"/>
      <c r="AL16" s="745"/>
      <c r="AM16" s="745"/>
      <c r="AN16" s="745"/>
      <c r="AO16" s="745"/>
      <c r="AP16" s="745"/>
      <c r="AQ16" s="745"/>
      <c r="AR16" s="745"/>
      <c r="AS16" s="745"/>
      <c r="AT16" s="745"/>
      <c r="AU16" s="745"/>
      <c r="AV16" s="745"/>
      <c r="AW16" s="745"/>
      <c r="AX16" s="745"/>
      <c r="AY16" s="745"/>
      <c r="AZ16" s="745"/>
      <c r="BA16" s="745"/>
      <c r="BB16" s="745"/>
      <c r="BC16" s="745"/>
      <c r="BD16" s="745"/>
      <c r="BE16" s="842"/>
      <c r="BF16" s="631"/>
    </row>
    <row r="17" spans="1:63" ht="14.4">
      <c r="A17" s="631"/>
      <c r="B17" s="1433" t="s">
        <v>830</v>
      </c>
      <c r="C17" s="1434"/>
      <c r="D17" s="1457" t="s">
        <v>839</v>
      </c>
      <c r="E17" s="1457"/>
      <c r="F17" s="1457"/>
      <c r="G17" s="1457"/>
      <c r="H17" s="1457"/>
      <c r="I17" s="1457"/>
      <c r="J17" s="1457"/>
      <c r="K17" s="1457"/>
      <c r="L17" s="1457"/>
      <c r="M17" s="1457"/>
      <c r="N17" s="1457"/>
      <c r="O17" s="1457"/>
      <c r="P17" s="1457"/>
      <c r="Q17" s="1457"/>
      <c r="R17" s="1457"/>
      <c r="S17" s="1457"/>
      <c r="T17" s="1457"/>
      <c r="U17" s="1457"/>
      <c r="V17" s="1457"/>
      <c r="W17" s="1457"/>
      <c r="X17" s="1457"/>
      <c r="Y17" s="1457"/>
      <c r="Z17" s="1457"/>
      <c r="AA17" s="1457"/>
      <c r="AB17" s="1457"/>
      <c r="AC17" s="1457"/>
      <c r="AD17" s="1457"/>
      <c r="AE17" s="1457"/>
      <c r="AF17" s="1457"/>
      <c r="AG17" s="1457"/>
      <c r="AH17" s="1457"/>
      <c r="AI17" s="1457"/>
      <c r="AJ17" s="1457"/>
      <c r="AK17" s="1457"/>
      <c r="AL17" s="1457"/>
      <c r="AM17" s="1457"/>
      <c r="AN17" s="1457"/>
      <c r="AO17" s="1457"/>
      <c r="AP17" s="1457"/>
      <c r="AQ17" s="1457"/>
      <c r="AR17" s="1457"/>
      <c r="AS17" s="1457"/>
      <c r="AT17" s="1457"/>
      <c r="AU17" s="1457"/>
      <c r="AV17" s="1457"/>
      <c r="AW17" s="1457"/>
      <c r="AX17" s="1457"/>
      <c r="AY17" s="1457"/>
      <c r="AZ17" s="1457"/>
      <c r="BA17" s="1457"/>
      <c r="BB17" s="1457"/>
      <c r="BC17" s="1457"/>
      <c r="BD17" s="1457"/>
      <c r="BE17" s="722"/>
      <c r="BK17" s="927" t="str">
        <f>IF(AND(BK5="Nevypĺňať túto časť!",OR(BG18=TRUE,BG19=TRUE,BH18=TRUE,BH19=TRUE,BI18=TRUE,BI19=TRUE)),"Nevyplňať túto časť!","")</f>
        <v/>
      </c>
    </row>
    <row r="18" spans="1:63" ht="14.4">
      <c r="A18" s="631"/>
      <c r="B18" s="873"/>
      <c r="C18" s="870"/>
      <c r="D18" s="870" t="s">
        <v>891</v>
      </c>
      <c r="E18" s="870"/>
      <c r="F18" s="870"/>
      <c r="G18" s="870"/>
      <c r="H18" s="870"/>
      <c r="I18" s="870"/>
      <c r="J18" s="870"/>
      <c r="K18" s="870"/>
      <c r="L18" s="870"/>
      <c r="M18" s="870"/>
      <c r="N18" s="870"/>
      <c r="O18" s="870"/>
      <c r="P18" s="870"/>
      <c r="Q18" s="870"/>
      <c r="R18" s="870"/>
      <c r="S18" s="870"/>
      <c r="T18" s="870"/>
      <c r="U18" s="870"/>
      <c r="V18" s="870"/>
      <c r="W18" s="870"/>
      <c r="X18" s="870"/>
      <c r="Y18" s="870"/>
      <c r="Z18" s="870"/>
      <c r="AA18" s="870"/>
      <c r="AB18" s="870"/>
      <c r="AC18" s="870"/>
      <c r="AD18" s="870"/>
      <c r="AE18" s="870"/>
      <c r="AF18" s="870"/>
      <c r="AG18" s="870"/>
      <c r="AH18" s="870"/>
      <c r="AI18" s="870"/>
      <c r="AJ18" s="870"/>
      <c r="AK18" s="870"/>
      <c r="AL18" s="870"/>
      <c r="AM18" s="870"/>
      <c r="AN18" s="870"/>
      <c r="AO18" s="870"/>
      <c r="AP18" s="870"/>
      <c r="AQ18" s="870"/>
      <c r="AR18" s="870"/>
      <c r="AS18" s="870"/>
      <c r="AT18" s="870"/>
      <c r="AU18" s="870"/>
      <c r="AV18" s="870"/>
      <c r="AW18" s="870"/>
      <c r="AX18" s="870"/>
      <c r="AY18" s="870"/>
      <c r="AZ18" s="870"/>
      <c r="BA18" s="870"/>
      <c r="BB18" s="870"/>
      <c r="BC18" s="870"/>
      <c r="BD18" s="870"/>
      <c r="BE18" s="722"/>
      <c r="BG18" s="1022" t="b">
        <v>0</v>
      </c>
      <c r="BH18" s="1022" t="b">
        <v>0</v>
      </c>
      <c r="BI18" s="1022" t="b">
        <v>0</v>
      </c>
      <c r="BK18" s="927" t="str">
        <f>IF(pocetdeti&gt;0,IF(AND(BG18=FALSE,BG19=FALSE,pocetdeti&gt;=1),"Pri dieťati D1 je potrebné uviesť ÁNO alebo NIE!",IF(AND(BG18=TRUE,BG19=TRUE,pocetdeti&gt;=1),"Pri dieťati D1 je potrebné uviesť iba jedno z ÁNO alebo NIE!",IF(AND(pocetdeti&gt;=2,BH18=FALSE,BH19=FALSE),"Pri dieťati D2 je potrebné uviesť ÁNO alebo NIE!",IF(AND(pocetdeti&gt;=2,BH18=TRUE,BH19=TRUE),"Pri dieťati D2 je potrebné uviesť iba jedno z ÁNO alebo NIE!",IF(AND(pocetdeti=3,BI18=FALSE,BI19=FALSE),"Pri dieťati D3 je potrebné uviesť ÁNO alebo NIE!",IF(AND(pocetdeti=3,BI18=TRUE,BI19=TRUE),"Pri dieťati D3 je potrebné uviesť iba jedno z ÁNO alebo NIE!","")))))),"")</f>
        <v/>
      </c>
    </row>
    <row r="19" spans="1:63" ht="13.5" customHeight="1">
      <c r="A19" s="631"/>
      <c r="B19" s="873"/>
      <c r="C19" s="870"/>
      <c r="D19" s="868"/>
      <c r="E19" s="870"/>
      <c r="F19" s="870"/>
      <c r="G19" s="870"/>
      <c r="H19" s="870"/>
      <c r="I19" s="870"/>
      <c r="J19" s="870"/>
      <c r="K19" s="870"/>
      <c r="L19" s="870"/>
      <c r="M19" s="928"/>
      <c r="N19" s="868"/>
      <c r="O19" s="872"/>
      <c r="P19" s="868" t="s">
        <v>822</v>
      </c>
      <c r="Q19" s="871"/>
      <c r="R19" s="871"/>
      <c r="S19" s="871" t="s">
        <v>709</v>
      </c>
      <c r="T19" s="910"/>
      <c r="U19" s="871"/>
      <c r="V19" s="871" t="s">
        <v>688</v>
      </c>
      <c r="W19" s="910"/>
      <c r="X19" s="910"/>
      <c r="Y19" s="910"/>
      <c r="Z19" s="910"/>
      <c r="AA19" s="868"/>
      <c r="AB19" s="868" t="s">
        <v>823</v>
      </c>
      <c r="AC19" s="872"/>
      <c r="AD19" s="910"/>
      <c r="AE19" s="871" t="s">
        <v>709</v>
      </c>
      <c r="AF19" s="910"/>
      <c r="AG19" s="910"/>
      <c r="AH19" s="871" t="s">
        <v>688</v>
      </c>
      <c r="AI19" s="870"/>
      <c r="AJ19" s="870"/>
      <c r="AK19" s="870"/>
      <c r="AL19" s="870"/>
      <c r="AM19" s="870"/>
      <c r="AN19" s="870"/>
      <c r="AO19" s="868" t="s">
        <v>824</v>
      </c>
      <c r="AP19" s="872"/>
      <c r="AQ19" s="870"/>
      <c r="AR19" s="871" t="s">
        <v>709</v>
      </c>
      <c r="AS19" s="870"/>
      <c r="AT19" s="870"/>
      <c r="AU19" s="871" t="s">
        <v>688</v>
      </c>
      <c r="AV19" s="870"/>
      <c r="AW19" s="870"/>
      <c r="AX19" s="870"/>
      <c r="AY19" s="870"/>
      <c r="AZ19" s="870"/>
      <c r="BA19" s="870"/>
      <c r="BB19" s="870"/>
      <c r="BC19" s="870"/>
      <c r="BD19" s="870"/>
      <c r="BE19" s="722"/>
      <c r="BG19" s="1022" t="b">
        <v>0</v>
      </c>
      <c r="BH19" s="1022" t="b">
        <v>0</v>
      </c>
      <c r="BI19" s="1022" t="b">
        <v>0</v>
      </c>
      <c r="BK19" s="927" t="str">
        <f>IF(AND(pocetdeti=1,OR(OR(BH18=TRUE,BH19=TRUE),OR(BI18=TRUE,BI19=TRUE))),"Vyplniť iba pre dieťa D1!",IF(AND(pocetdeti=2,OR(BI18=TRUE,BI19=TRUE)),"Vyplniť iba pre dieťa D1 a dieťa D2!",""))</f>
        <v/>
      </c>
    </row>
    <row r="20" spans="1:63" ht="14.4">
      <c r="A20" s="631"/>
      <c r="B20" s="873"/>
      <c r="C20" s="882"/>
      <c r="D20" s="882" t="s">
        <v>831</v>
      </c>
      <c r="E20" s="870"/>
      <c r="F20" s="870"/>
      <c r="G20" s="870"/>
      <c r="H20" s="870"/>
      <c r="I20" s="870"/>
      <c r="J20" s="870"/>
      <c r="K20" s="870"/>
      <c r="L20" s="870"/>
      <c r="M20" s="870"/>
      <c r="N20" s="870"/>
      <c r="O20" s="870"/>
      <c r="P20" s="870"/>
      <c r="Q20" s="870"/>
      <c r="R20" s="870"/>
      <c r="S20" s="870"/>
      <c r="T20" s="870"/>
      <c r="U20" s="870"/>
      <c r="V20" s="870"/>
      <c r="W20" s="870"/>
      <c r="X20" s="870"/>
      <c r="Y20" s="870"/>
      <c r="Z20" s="870"/>
      <c r="AA20" s="870"/>
      <c r="AB20" s="870"/>
      <c r="AC20" s="870"/>
      <c r="AD20" s="870"/>
      <c r="AE20" s="870"/>
      <c r="AF20" s="870"/>
      <c r="AG20" s="870"/>
      <c r="AH20" s="870"/>
      <c r="AI20" s="870"/>
      <c r="AJ20" s="870"/>
      <c r="AK20" s="870"/>
      <c r="AL20" s="870"/>
      <c r="AM20" s="870"/>
      <c r="AN20" s="870"/>
      <c r="AO20" s="870"/>
      <c r="AP20" s="870"/>
      <c r="AQ20" s="870"/>
      <c r="AR20" s="870"/>
      <c r="AS20" s="870"/>
      <c r="AT20" s="870"/>
      <c r="AU20" s="870"/>
      <c r="AV20" s="870"/>
      <c r="AW20" s="870"/>
      <c r="AX20" s="870"/>
      <c r="AY20" s="870"/>
      <c r="AZ20" s="870"/>
      <c r="BA20" s="870"/>
      <c r="BB20" s="870"/>
      <c r="BC20" s="870"/>
      <c r="BD20" s="870"/>
      <c r="BE20" s="722"/>
    </row>
    <row r="21" spans="1:63" ht="14.4" customHeight="1">
      <c r="A21" s="631"/>
      <c r="B21" s="873"/>
      <c r="C21" s="888"/>
      <c r="D21" s="889" t="s">
        <v>826</v>
      </c>
      <c r="E21" s="889"/>
      <c r="F21" s="889"/>
      <c r="G21" s="890"/>
      <c r="H21" s="889" t="s">
        <v>810</v>
      </c>
      <c r="I21" s="889"/>
      <c r="J21" s="889"/>
      <c r="K21" s="889"/>
      <c r="L21" s="889"/>
      <c r="M21" s="889"/>
      <c r="N21" s="890"/>
      <c r="O21" s="889" t="s">
        <v>811</v>
      </c>
      <c r="P21" s="889"/>
      <c r="Q21" s="889"/>
      <c r="R21" s="889"/>
      <c r="S21" s="889"/>
      <c r="T21" s="889"/>
      <c r="U21" s="889"/>
      <c r="V21" s="889"/>
      <c r="W21" s="889"/>
      <c r="X21" s="889"/>
      <c r="Y21" s="889"/>
      <c r="Z21" s="889"/>
      <c r="AA21" s="889"/>
      <c r="AB21" s="889"/>
      <c r="AC21" s="889"/>
      <c r="AD21" s="889"/>
      <c r="AE21" s="889"/>
      <c r="AF21" s="889"/>
      <c r="AG21" s="890"/>
      <c r="AH21" s="889" t="s">
        <v>812</v>
      </c>
      <c r="AI21" s="889"/>
      <c r="AJ21" s="889"/>
      <c r="AK21" s="889"/>
      <c r="AL21" s="889"/>
      <c r="AM21" s="889"/>
      <c r="AN21" s="889"/>
      <c r="AO21" s="889"/>
      <c r="AP21" s="889"/>
      <c r="AQ21" s="889"/>
      <c r="AR21" s="889"/>
      <c r="AS21" s="889"/>
      <c r="AT21" s="889"/>
      <c r="AU21" s="889"/>
      <c r="AV21" s="889"/>
      <c r="AW21" s="889"/>
      <c r="AX21" s="889"/>
      <c r="AY21" s="889"/>
      <c r="AZ21" s="889"/>
      <c r="BA21" s="889"/>
      <c r="BB21" s="889"/>
      <c r="BC21" s="890"/>
      <c r="BD21" s="870"/>
      <c r="BE21" s="722"/>
    </row>
    <row r="22" spans="1:63" ht="10.5" customHeight="1">
      <c r="A22" s="631"/>
      <c r="B22" s="873"/>
      <c r="C22" s="942"/>
      <c r="D22" s="1458"/>
      <c r="E22" s="1459"/>
      <c r="F22" s="1459"/>
      <c r="G22" s="1460"/>
      <c r="H22" s="1458"/>
      <c r="I22" s="1459"/>
      <c r="J22" s="1459"/>
      <c r="K22" s="1459"/>
      <c r="L22" s="1459"/>
      <c r="M22" s="1459"/>
      <c r="N22" s="1460"/>
      <c r="O22" s="1458"/>
      <c r="P22" s="1459"/>
      <c r="Q22" s="1459"/>
      <c r="R22" s="1459"/>
      <c r="S22" s="1459"/>
      <c r="T22" s="1459"/>
      <c r="U22" s="1459"/>
      <c r="V22" s="1459"/>
      <c r="W22" s="1459"/>
      <c r="X22" s="1459"/>
      <c r="Y22" s="1459"/>
      <c r="Z22" s="1459"/>
      <c r="AA22" s="1459"/>
      <c r="AB22" s="1459"/>
      <c r="AC22" s="1459"/>
      <c r="AD22" s="1459"/>
      <c r="AE22" s="1459"/>
      <c r="AF22" s="1459"/>
      <c r="AG22" s="1460"/>
      <c r="AH22" s="1458"/>
      <c r="AI22" s="1459"/>
      <c r="AJ22" s="1459"/>
      <c r="AK22" s="1459"/>
      <c r="AL22" s="1459"/>
      <c r="AM22" s="1459"/>
      <c r="AN22" s="1459"/>
      <c r="AO22" s="1459"/>
      <c r="AP22" s="1459"/>
      <c r="AQ22" s="1459"/>
      <c r="AR22" s="1459"/>
      <c r="AS22" s="1459"/>
      <c r="AT22" s="1459"/>
      <c r="AU22" s="1459"/>
      <c r="AV22" s="1459"/>
      <c r="AW22" s="1459"/>
      <c r="AX22" s="1459"/>
      <c r="AY22" s="1459"/>
      <c r="AZ22" s="1459"/>
      <c r="BA22" s="1459"/>
      <c r="BB22" s="1459"/>
      <c r="BC22" s="1460"/>
      <c r="BD22" s="870"/>
      <c r="BE22" s="722"/>
      <c r="BK22" s="927" t="str">
        <f>IF(AND(OR(BG18=TRUE,BH18=TRUE,BI18=TRUE),OR(D22="",H22="",O22="",AH22="")),"Vyplňte aj druhú časť otázky!",IF(AND(AND(BG19=TRUE,BH19=TRUE,BI19=TRUE),OR(D22&lt;&gt;"",H22&lt;&gt;"",O22&lt;&gt;"",AH22&lt;&gt;"")),"Pri zápornej odpovedi nevypisovať druhú časť otázky!",""))</f>
        <v/>
      </c>
    </row>
    <row r="23" spans="1:63" ht="10.5" customHeight="1">
      <c r="A23" s="631"/>
      <c r="B23" s="873"/>
      <c r="C23" s="942"/>
      <c r="D23" s="1458"/>
      <c r="E23" s="1459"/>
      <c r="F23" s="1459"/>
      <c r="G23" s="1460"/>
      <c r="H23" s="1458"/>
      <c r="I23" s="1459"/>
      <c r="J23" s="1459"/>
      <c r="K23" s="1459"/>
      <c r="L23" s="1459"/>
      <c r="M23" s="1459"/>
      <c r="N23" s="1460"/>
      <c r="O23" s="1458"/>
      <c r="P23" s="1459"/>
      <c r="Q23" s="1459"/>
      <c r="R23" s="1459"/>
      <c r="S23" s="1459"/>
      <c r="T23" s="1459"/>
      <c r="U23" s="1459"/>
      <c r="V23" s="1459"/>
      <c r="W23" s="1459"/>
      <c r="X23" s="1459"/>
      <c r="Y23" s="1459"/>
      <c r="Z23" s="1459"/>
      <c r="AA23" s="1459"/>
      <c r="AB23" s="1459"/>
      <c r="AC23" s="1459"/>
      <c r="AD23" s="1459"/>
      <c r="AE23" s="1459"/>
      <c r="AF23" s="1459"/>
      <c r="AG23" s="1460"/>
      <c r="AH23" s="1458"/>
      <c r="AI23" s="1459"/>
      <c r="AJ23" s="1459"/>
      <c r="AK23" s="1459"/>
      <c r="AL23" s="1459"/>
      <c r="AM23" s="1459"/>
      <c r="AN23" s="1459"/>
      <c r="AO23" s="1459"/>
      <c r="AP23" s="1459"/>
      <c r="AQ23" s="1459"/>
      <c r="AR23" s="1459"/>
      <c r="AS23" s="1459"/>
      <c r="AT23" s="1459"/>
      <c r="AU23" s="1459"/>
      <c r="AV23" s="1459"/>
      <c r="AW23" s="1459"/>
      <c r="AX23" s="1459"/>
      <c r="AY23" s="1459"/>
      <c r="AZ23" s="1459"/>
      <c r="BA23" s="1459"/>
      <c r="BB23" s="1459"/>
      <c r="BC23" s="1460"/>
      <c r="BD23" s="870"/>
      <c r="BE23" s="722"/>
      <c r="BK23" s="927" t="str">
        <f>IF(AND(AND(BG19=TRUE,BH19=TRUE,BI19=TRUE),OR(D23&lt;&gt;"",H23&lt;&gt;"",O23&lt;&gt;"",AH23&lt;&gt;"")),"Pri zápornej odpovedi nevypisovať druhú časť otázky!","")</f>
        <v/>
      </c>
    </row>
    <row r="24" spans="1:63" ht="10.5" customHeight="1">
      <c r="A24" s="631"/>
      <c r="B24" s="873"/>
      <c r="C24" s="980"/>
      <c r="D24" s="1458"/>
      <c r="E24" s="1459"/>
      <c r="F24" s="1459"/>
      <c r="G24" s="1460"/>
      <c r="H24" s="1458"/>
      <c r="I24" s="1459"/>
      <c r="J24" s="1459"/>
      <c r="K24" s="1459"/>
      <c r="L24" s="1459"/>
      <c r="M24" s="1459"/>
      <c r="N24" s="1460"/>
      <c r="O24" s="1458"/>
      <c r="P24" s="1459"/>
      <c r="Q24" s="1459"/>
      <c r="R24" s="1459"/>
      <c r="S24" s="1459"/>
      <c r="T24" s="1459"/>
      <c r="U24" s="1459"/>
      <c r="V24" s="1459"/>
      <c r="W24" s="1459"/>
      <c r="X24" s="1459"/>
      <c r="Y24" s="1459"/>
      <c r="Z24" s="1459"/>
      <c r="AA24" s="1459"/>
      <c r="AB24" s="1459"/>
      <c r="AC24" s="1459"/>
      <c r="AD24" s="1459"/>
      <c r="AE24" s="1459"/>
      <c r="AF24" s="1459"/>
      <c r="AG24" s="1460"/>
      <c r="AH24" s="1458"/>
      <c r="AI24" s="1459"/>
      <c r="AJ24" s="1459"/>
      <c r="AK24" s="1459"/>
      <c r="AL24" s="1459"/>
      <c r="AM24" s="1459"/>
      <c r="AN24" s="1459"/>
      <c r="AO24" s="1459"/>
      <c r="AP24" s="1459"/>
      <c r="AQ24" s="1459"/>
      <c r="AR24" s="1459"/>
      <c r="AS24" s="1459"/>
      <c r="AT24" s="1459"/>
      <c r="AU24" s="1459"/>
      <c r="AV24" s="1459"/>
      <c r="AW24" s="1459"/>
      <c r="AX24" s="1459"/>
      <c r="AY24" s="1459"/>
      <c r="AZ24" s="1459"/>
      <c r="BA24" s="1459"/>
      <c r="BB24" s="1459"/>
      <c r="BC24" s="1460"/>
      <c r="BD24" s="870"/>
      <c r="BE24" s="722"/>
      <c r="BK24" s="927" t="str">
        <f>IF(AND(AND(BG19=TRUE,BH19=TRUE,BI19=TRUE),OR(D24&lt;&gt;"",H24&lt;&gt;"",O24&lt;&gt;"",AH24&lt;&gt;"")),"Pri zápornej odpovedi nevypisovať druhú časť otázky!","")</f>
        <v/>
      </c>
    </row>
    <row r="25" spans="1:63" ht="3" customHeight="1" thickBot="1">
      <c r="A25" s="631"/>
      <c r="B25" s="899"/>
      <c r="C25" s="900"/>
      <c r="D25" s="900"/>
      <c r="E25" s="900"/>
      <c r="F25" s="900"/>
      <c r="G25" s="900"/>
      <c r="H25" s="900"/>
      <c r="I25" s="900"/>
      <c r="J25" s="900"/>
      <c r="K25" s="900"/>
      <c r="L25" s="900"/>
      <c r="M25" s="900"/>
      <c r="N25" s="900"/>
      <c r="O25" s="900"/>
      <c r="P25" s="900"/>
      <c r="Q25" s="900"/>
      <c r="R25" s="900"/>
      <c r="S25" s="900"/>
      <c r="T25" s="900"/>
      <c r="U25" s="900"/>
      <c r="V25" s="900"/>
      <c r="W25" s="900"/>
      <c r="X25" s="900"/>
      <c r="Y25" s="900"/>
      <c r="Z25" s="900"/>
      <c r="AA25" s="900"/>
      <c r="AB25" s="900"/>
      <c r="AC25" s="900"/>
      <c r="AD25" s="900"/>
      <c r="AE25" s="900"/>
      <c r="AF25" s="900"/>
      <c r="AG25" s="900"/>
      <c r="AH25" s="900"/>
      <c r="AI25" s="900"/>
      <c r="AJ25" s="900"/>
      <c r="AK25" s="900"/>
      <c r="AL25" s="900"/>
      <c r="AM25" s="900"/>
      <c r="AN25" s="900"/>
      <c r="AO25" s="900"/>
      <c r="AP25" s="900"/>
      <c r="AQ25" s="900"/>
      <c r="AR25" s="900"/>
      <c r="AS25" s="900"/>
      <c r="AT25" s="900"/>
      <c r="AU25" s="900"/>
      <c r="AV25" s="900"/>
      <c r="AW25" s="900"/>
      <c r="AX25" s="900"/>
      <c r="AY25" s="900"/>
      <c r="AZ25" s="900"/>
      <c r="BA25" s="900"/>
      <c r="BB25" s="900"/>
      <c r="BC25" s="900"/>
      <c r="BD25" s="900"/>
      <c r="BE25" s="924"/>
    </row>
    <row r="26" spans="1:63" s="1290" customFormat="1" ht="39.75" customHeight="1">
      <c r="A26" s="1289"/>
      <c r="B26" s="1277"/>
      <c r="C26" s="1463" t="s">
        <v>832</v>
      </c>
      <c r="D26" s="1463"/>
      <c r="E26" s="1463"/>
      <c r="F26" s="1463"/>
      <c r="G26" s="1463"/>
      <c r="H26" s="1463"/>
      <c r="I26" s="1463"/>
      <c r="J26" s="1463"/>
      <c r="K26" s="1463"/>
      <c r="L26" s="1463"/>
      <c r="M26" s="1463"/>
      <c r="N26" s="1463"/>
      <c r="O26" s="1463"/>
      <c r="P26" s="1463"/>
      <c r="Q26" s="1463"/>
      <c r="R26" s="1463"/>
      <c r="S26" s="1463"/>
      <c r="T26" s="1463"/>
      <c r="U26" s="1463"/>
      <c r="V26" s="1463"/>
      <c r="W26" s="1463"/>
      <c r="X26" s="1463"/>
      <c r="Y26" s="1463"/>
      <c r="Z26" s="1463"/>
      <c r="AA26" s="1463"/>
      <c r="AB26" s="1463"/>
      <c r="AC26" s="1463"/>
      <c r="AD26" s="1463"/>
      <c r="AE26" s="1463"/>
      <c r="AF26" s="1463"/>
      <c r="AG26" s="1463"/>
      <c r="AH26" s="1463"/>
      <c r="AI26" s="1463"/>
      <c r="AJ26" s="1463"/>
      <c r="AK26" s="1463"/>
      <c r="AL26" s="1463"/>
      <c r="AM26" s="1463"/>
      <c r="AN26" s="1463"/>
      <c r="AO26" s="1463"/>
      <c r="AP26" s="1463"/>
      <c r="AQ26" s="1463"/>
      <c r="AR26" s="1463"/>
      <c r="AS26" s="1463"/>
      <c r="AT26" s="1463"/>
      <c r="AU26" s="1463"/>
      <c r="AV26" s="1463"/>
      <c r="AW26" s="1463"/>
      <c r="AX26" s="1463"/>
      <c r="AY26" s="1463"/>
      <c r="AZ26" s="1463"/>
      <c r="BA26" s="1463"/>
      <c r="BB26" s="1463"/>
      <c r="BC26" s="1463"/>
      <c r="BD26" s="1463"/>
      <c r="BE26" s="1278"/>
      <c r="BG26" s="1280"/>
      <c r="BH26" s="1280"/>
      <c r="BI26" s="1280"/>
      <c r="BJ26" s="1280"/>
      <c r="BK26" s="1281"/>
    </row>
    <row r="27" spans="1:63" s="1290" customFormat="1" ht="39" customHeight="1" thickBot="1">
      <c r="A27" s="1289"/>
      <c r="B27" s="1282"/>
      <c r="C27" s="1464" t="s">
        <v>948</v>
      </c>
      <c r="D27" s="1464"/>
      <c r="E27" s="1464"/>
      <c r="F27" s="1464"/>
      <c r="G27" s="1464"/>
      <c r="H27" s="1464"/>
      <c r="I27" s="1464"/>
      <c r="J27" s="1464"/>
      <c r="K27" s="1464"/>
      <c r="L27" s="1464"/>
      <c r="M27" s="1464"/>
      <c r="N27" s="1464"/>
      <c r="O27" s="1464"/>
      <c r="P27" s="1464"/>
      <c r="Q27" s="1464"/>
      <c r="R27" s="1464"/>
      <c r="S27" s="1464"/>
      <c r="T27" s="1464"/>
      <c r="U27" s="1464"/>
      <c r="V27" s="1464"/>
      <c r="W27" s="1464"/>
      <c r="X27" s="1464"/>
      <c r="Y27" s="1464"/>
      <c r="Z27" s="1464"/>
      <c r="AA27" s="1464"/>
      <c r="AB27" s="1464"/>
      <c r="AC27" s="1464"/>
      <c r="AD27" s="1464"/>
      <c r="AE27" s="1464"/>
      <c r="AF27" s="1464"/>
      <c r="AG27" s="1464"/>
      <c r="AH27" s="1464"/>
      <c r="AI27" s="1464"/>
      <c r="AJ27" s="1464"/>
      <c r="AK27" s="1464"/>
      <c r="AL27" s="1464"/>
      <c r="AM27" s="1464"/>
      <c r="AN27" s="1464"/>
      <c r="AO27" s="1464"/>
      <c r="AP27" s="1464"/>
      <c r="AQ27" s="1464"/>
      <c r="AR27" s="1464"/>
      <c r="AS27" s="1464"/>
      <c r="AT27" s="1464"/>
      <c r="AU27" s="1464"/>
      <c r="AV27" s="1464"/>
      <c r="AW27" s="1464"/>
      <c r="AX27" s="1464"/>
      <c r="AY27" s="1464"/>
      <c r="AZ27" s="1464"/>
      <c r="BA27" s="1464"/>
      <c r="BB27" s="1464"/>
      <c r="BC27" s="1464"/>
      <c r="BD27" s="1464"/>
      <c r="BE27" s="1283"/>
      <c r="BG27" s="1280"/>
      <c r="BH27" s="1280"/>
      <c r="BI27" s="1280"/>
      <c r="BJ27" s="1280"/>
      <c r="BK27" s="1281"/>
    </row>
    <row r="28" spans="1:63" s="1290" customFormat="1" ht="2.25" customHeight="1" thickBot="1">
      <c r="A28" s="1289"/>
      <c r="B28" s="1284"/>
      <c r="C28" s="1468"/>
      <c r="D28" s="1468"/>
      <c r="E28" s="1468"/>
      <c r="F28" s="1468"/>
      <c r="G28" s="1468"/>
      <c r="H28" s="1468"/>
      <c r="I28" s="1468"/>
      <c r="J28" s="1468"/>
      <c r="K28" s="1468"/>
      <c r="L28" s="1468"/>
      <c r="M28" s="1468"/>
      <c r="N28" s="1468"/>
      <c r="O28" s="1468"/>
      <c r="P28" s="1468"/>
      <c r="Q28" s="1468"/>
      <c r="R28" s="1468"/>
      <c r="S28" s="1468"/>
      <c r="T28" s="1468"/>
      <c r="U28" s="1468"/>
      <c r="V28" s="1468"/>
      <c r="W28" s="1468"/>
      <c r="X28" s="1468"/>
      <c r="Y28" s="1468"/>
      <c r="Z28" s="1468"/>
      <c r="AA28" s="1468"/>
      <c r="AB28" s="1468"/>
      <c r="AC28" s="1468"/>
      <c r="AD28" s="1468"/>
      <c r="AE28" s="1468"/>
      <c r="AF28" s="1468"/>
      <c r="AG28" s="1468"/>
      <c r="AH28" s="1468"/>
      <c r="AI28" s="1468"/>
      <c r="AJ28" s="1468"/>
      <c r="AK28" s="1468"/>
      <c r="AL28" s="1468"/>
      <c r="AM28" s="1468"/>
      <c r="AN28" s="1468"/>
      <c r="AO28" s="1468"/>
      <c r="AP28" s="1468"/>
      <c r="AQ28" s="1468"/>
      <c r="AR28" s="1468"/>
      <c r="AS28" s="1468"/>
      <c r="AT28" s="1468"/>
      <c r="AU28" s="1468"/>
      <c r="AV28" s="1468"/>
      <c r="AW28" s="1468"/>
      <c r="AX28" s="1468"/>
      <c r="AY28" s="1468"/>
      <c r="AZ28" s="1468"/>
      <c r="BA28" s="1468"/>
      <c r="BB28" s="1468"/>
      <c r="BC28" s="1468"/>
      <c r="BD28" s="1468"/>
      <c r="BE28" s="1285"/>
      <c r="BG28" s="1280"/>
      <c r="BH28" s="1280"/>
      <c r="BI28" s="1280"/>
      <c r="BJ28" s="1280"/>
      <c r="BK28" s="1281"/>
    </row>
    <row r="29" spans="1:63" s="1290" customFormat="1" ht="36.75" customHeight="1">
      <c r="A29" s="1289"/>
      <c r="B29" s="1286"/>
      <c r="C29" s="1463" t="s">
        <v>840</v>
      </c>
      <c r="D29" s="1463"/>
      <c r="E29" s="1463"/>
      <c r="F29" s="1463"/>
      <c r="G29" s="1463"/>
      <c r="H29" s="1463"/>
      <c r="I29" s="1463"/>
      <c r="J29" s="1463"/>
      <c r="K29" s="1463"/>
      <c r="L29" s="1463"/>
      <c r="M29" s="1463"/>
      <c r="N29" s="1463"/>
      <c r="O29" s="1463"/>
      <c r="P29" s="1463"/>
      <c r="Q29" s="1463"/>
      <c r="R29" s="1463"/>
      <c r="S29" s="1463"/>
      <c r="T29" s="1463"/>
      <c r="U29" s="1463"/>
      <c r="V29" s="1463"/>
      <c r="W29" s="1463"/>
      <c r="X29" s="1463"/>
      <c r="Y29" s="1463"/>
      <c r="Z29" s="1463"/>
      <c r="AA29" s="1463"/>
      <c r="AB29" s="1463"/>
      <c r="AC29" s="1463"/>
      <c r="AD29" s="1463"/>
      <c r="AE29" s="1463"/>
      <c r="AF29" s="1463"/>
      <c r="AG29" s="1463"/>
      <c r="AH29" s="1463"/>
      <c r="AI29" s="1463"/>
      <c r="AJ29" s="1463"/>
      <c r="AK29" s="1463"/>
      <c r="AL29" s="1463"/>
      <c r="AM29" s="1463"/>
      <c r="AN29" s="1463"/>
      <c r="AO29" s="1463"/>
      <c r="AP29" s="1463"/>
      <c r="AQ29" s="1463"/>
      <c r="AR29" s="1463"/>
      <c r="AS29" s="1463"/>
      <c r="AT29" s="1463"/>
      <c r="AU29" s="1463"/>
      <c r="AV29" s="1463"/>
      <c r="AW29" s="1463"/>
      <c r="AX29" s="1463"/>
      <c r="AY29" s="1463"/>
      <c r="AZ29" s="1463"/>
      <c r="BA29" s="1463"/>
      <c r="BB29" s="1463"/>
      <c r="BC29" s="1463"/>
      <c r="BD29" s="1463"/>
      <c r="BE29" s="1291"/>
      <c r="BG29" s="1280"/>
      <c r="BH29" s="1280"/>
      <c r="BI29" s="1280"/>
      <c r="BJ29" s="1280"/>
      <c r="BK29" s="1281"/>
    </row>
    <row r="30" spans="1:63" s="1290" customFormat="1" ht="12.6">
      <c r="A30" s="1289"/>
      <c r="B30" s="1287"/>
      <c r="C30" s="1462" t="s">
        <v>841</v>
      </c>
      <c r="D30" s="1462"/>
      <c r="E30" s="1462"/>
      <c r="F30" s="1462"/>
      <c r="G30" s="1462"/>
      <c r="H30" s="1462"/>
      <c r="I30" s="1462"/>
      <c r="J30" s="1462"/>
      <c r="K30" s="1462"/>
      <c r="L30" s="1462"/>
      <c r="M30" s="1462"/>
      <c r="N30" s="1462"/>
      <c r="O30" s="1462"/>
      <c r="P30" s="1462"/>
      <c r="Q30" s="1462"/>
      <c r="R30" s="1462"/>
      <c r="S30" s="1462"/>
      <c r="T30" s="1462"/>
      <c r="U30" s="1462"/>
      <c r="V30" s="1462"/>
      <c r="W30" s="1462"/>
      <c r="X30" s="1462"/>
      <c r="Y30" s="1462"/>
      <c r="Z30" s="1462"/>
      <c r="AA30" s="1462"/>
      <c r="AB30" s="1462"/>
      <c r="AC30" s="1462"/>
      <c r="AD30" s="1462"/>
      <c r="AE30" s="1462"/>
      <c r="AF30" s="1462"/>
      <c r="AG30" s="1462"/>
      <c r="AH30" s="1462"/>
      <c r="AI30" s="1462"/>
      <c r="AJ30" s="1462"/>
      <c r="AK30" s="1462"/>
      <c r="AL30" s="1462"/>
      <c r="AM30" s="1462"/>
      <c r="AN30" s="1462"/>
      <c r="AO30" s="1462"/>
      <c r="AP30" s="1462"/>
      <c r="AQ30" s="1462"/>
      <c r="AR30" s="1462"/>
      <c r="AS30" s="1462"/>
      <c r="AT30" s="1462"/>
      <c r="AU30" s="1462"/>
      <c r="AV30" s="1462"/>
      <c r="AW30" s="1462"/>
      <c r="AX30" s="1462"/>
      <c r="AY30" s="1462"/>
      <c r="AZ30" s="1462"/>
      <c r="BA30" s="1462"/>
      <c r="BB30" s="1462"/>
      <c r="BC30" s="1462"/>
      <c r="BD30" s="1462"/>
      <c r="BE30" s="1278"/>
      <c r="BG30" s="1280"/>
      <c r="BH30" s="1280"/>
      <c r="BI30" s="1280"/>
      <c r="BJ30" s="1280"/>
      <c r="BK30" s="1281"/>
    </row>
    <row r="31" spans="1:63" s="1290" customFormat="1" ht="12" customHeight="1">
      <c r="A31" s="1289"/>
      <c r="B31" s="1287"/>
      <c r="C31" s="1462" t="s">
        <v>947</v>
      </c>
      <c r="D31" s="1462"/>
      <c r="E31" s="1462"/>
      <c r="F31" s="1462"/>
      <c r="G31" s="1462"/>
      <c r="H31" s="1462"/>
      <c r="I31" s="1462"/>
      <c r="J31" s="1462"/>
      <c r="K31" s="1462"/>
      <c r="L31" s="1462"/>
      <c r="M31" s="1462"/>
      <c r="N31" s="1462"/>
      <c r="O31" s="1462"/>
      <c r="P31" s="1462"/>
      <c r="Q31" s="1462"/>
      <c r="R31" s="1462"/>
      <c r="S31" s="1462"/>
      <c r="T31" s="1462"/>
      <c r="U31" s="1462"/>
      <c r="V31" s="1462"/>
      <c r="W31" s="1462"/>
      <c r="X31" s="1462"/>
      <c r="Y31" s="1462"/>
      <c r="Z31" s="1462"/>
      <c r="AA31" s="1462"/>
      <c r="AB31" s="1462"/>
      <c r="AC31" s="1462"/>
      <c r="AD31" s="1462"/>
      <c r="AE31" s="1462"/>
      <c r="AF31" s="1462"/>
      <c r="AG31" s="1462"/>
      <c r="AH31" s="1462"/>
      <c r="AI31" s="1462"/>
      <c r="AJ31" s="1462"/>
      <c r="AK31" s="1462"/>
      <c r="AL31" s="1462"/>
      <c r="AM31" s="1462"/>
      <c r="AN31" s="1462"/>
      <c r="AO31" s="1462"/>
      <c r="AP31" s="1462"/>
      <c r="AQ31" s="1462"/>
      <c r="AR31" s="1462"/>
      <c r="AS31" s="1462"/>
      <c r="AT31" s="1462"/>
      <c r="AU31" s="1462"/>
      <c r="AV31" s="1462"/>
      <c r="AW31" s="1462"/>
      <c r="AX31" s="1462"/>
      <c r="AY31" s="1462"/>
      <c r="AZ31" s="1462"/>
      <c r="BA31" s="1462"/>
      <c r="BB31" s="1462"/>
      <c r="BC31" s="1462"/>
      <c r="BD31" s="1462"/>
      <c r="BE31" s="1278"/>
      <c r="BG31" s="1280"/>
      <c r="BH31" s="1280"/>
      <c r="BI31" s="1280"/>
      <c r="BJ31" s="1280"/>
      <c r="BK31" s="1281"/>
    </row>
    <row r="32" spans="1:63" s="1290" customFormat="1" ht="12.6">
      <c r="A32" s="1289"/>
      <c r="B32" s="1287"/>
      <c r="C32" s="1462" t="s">
        <v>842</v>
      </c>
      <c r="D32" s="1462"/>
      <c r="E32" s="1462"/>
      <c r="F32" s="1462"/>
      <c r="G32" s="1462"/>
      <c r="H32" s="1462"/>
      <c r="I32" s="1462"/>
      <c r="J32" s="1462"/>
      <c r="K32" s="1462"/>
      <c r="L32" s="1462"/>
      <c r="M32" s="1462"/>
      <c r="N32" s="1462"/>
      <c r="O32" s="1462"/>
      <c r="P32" s="1462"/>
      <c r="Q32" s="1462"/>
      <c r="R32" s="1462"/>
      <c r="S32" s="1462"/>
      <c r="T32" s="1462"/>
      <c r="U32" s="1462"/>
      <c r="V32" s="1462"/>
      <c r="W32" s="1462"/>
      <c r="X32" s="1462"/>
      <c r="Y32" s="1462"/>
      <c r="Z32" s="1462"/>
      <c r="AA32" s="1462"/>
      <c r="AB32" s="1462"/>
      <c r="AC32" s="1462"/>
      <c r="AD32" s="1462"/>
      <c r="AE32" s="1462"/>
      <c r="AF32" s="1462"/>
      <c r="AG32" s="1462"/>
      <c r="AH32" s="1462"/>
      <c r="AI32" s="1462"/>
      <c r="AJ32" s="1462"/>
      <c r="AK32" s="1462"/>
      <c r="AL32" s="1462"/>
      <c r="AM32" s="1462"/>
      <c r="AN32" s="1462"/>
      <c r="AO32" s="1462"/>
      <c r="AP32" s="1462"/>
      <c r="AQ32" s="1462"/>
      <c r="AR32" s="1462"/>
      <c r="AS32" s="1462"/>
      <c r="AT32" s="1462"/>
      <c r="AU32" s="1462"/>
      <c r="AV32" s="1462"/>
      <c r="AW32" s="1462"/>
      <c r="AX32" s="1462"/>
      <c r="AY32" s="1462"/>
      <c r="AZ32" s="1462"/>
      <c r="BA32" s="1462"/>
      <c r="BB32" s="1462"/>
      <c r="BC32" s="1462"/>
      <c r="BD32" s="1462"/>
      <c r="BE32" s="1278"/>
      <c r="BG32" s="1280"/>
      <c r="BH32" s="1280"/>
      <c r="BI32" s="1280"/>
      <c r="BJ32" s="1280"/>
      <c r="BK32" s="1281"/>
    </row>
    <row r="33" spans="1:63" s="1290" customFormat="1" ht="26.25" customHeight="1">
      <c r="A33" s="1289"/>
      <c r="B33" s="1287"/>
      <c r="C33" s="1462" t="s">
        <v>932</v>
      </c>
      <c r="D33" s="1462"/>
      <c r="E33" s="1462"/>
      <c r="F33" s="1462"/>
      <c r="G33" s="1462"/>
      <c r="H33" s="1462"/>
      <c r="I33" s="1462"/>
      <c r="J33" s="1462"/>
      <c r="K33" s="1462"/>
      <c r="L33" s="1462"/>
      <c r="M33" s="1462"/>
      <c r="N33" s="1462"/>
      <c r="O33" s="1462"/>
      <c r="P33" s="1462"/>
      <c r="Q33" s="1462"/>
      <c r="R33" s="1462"/>
      <c r="S33" s="1462"/>
      <c r="T33" s="1462"/>
      <c r="U33" s="1462"/>
      <c r="V33" s="1462"/>
      <c r="W33" s="1462"/>
      <c r="X33" s="1462"/>
      <c r="Y33" s="1462"/>
      <c r="Z33" s="1462"/>
      <c r="AA33" s="1462"/>
      <c r="AB33" s="1462"/>
      <c r="AC33" s="1462"/>
      <c r="AD33" s="1462"/>
      <c r="AE33" s="1462"/>
      <c r="AF33" s="1462"/>
      <c r="AG33" s="1462"/>
      <c r="AH33" s="1462"/>
      <c r="AI33" s="1462"/>
      <c r="AJ33" s="1462"/>
      <c r="AK33" s="1462"/>
      <c r="AL33" s="1462"/>
      <c r="AM33" s="1462"/>
      <c r="AN33" s="1462"/>
      <c r="AO33" s="1462"/>
      <c r="AP33" s="1462"/>
      <c r="AQ33" s="1462"/>
      <c r="AR33" s="1462"/>
      <c r="AS33" s="1462"/>
      <c r="AT33" s="1462"/>
      <c r="AU33" s="1462"/>
      <c r="AV33" s="1462"/>
      <c r="AW33" s="1462"/>
      <c r="AX33" s="1462"/>
      <c r="AY33" s="1462"/>
      <c r="AZ33" s="1462"/>
      <c r="BA33" s="1462"/>
      <c r="BB33" s="1462"/>
      <c r="BC33" s="1462"/>
      <c r="BD33" s="1462"/>
      <c r="BE33" s="1278"/>
      <c r="BG33" s="1280"/>
      <c r="BH33" s="1280"/>
      <c r="BI33" s="1280"/>
      <c r="BJ33" s="1280"/>
      <c r="BK33" s="1281"/>
    </row>
    <row r="34" spans="1:63" s="1290" customFormat="1" ht="25.5" customHeight="1">
      <c r="A34" s="1289"/>
      <c r="B34" s="1287"/>
      <c r="C34" s="1462" t="s">
        <v>843</v>
      </c>
      <c r="D34" s="1462"/>
      <c r="E34" s="1462"/>
      <c r="F34" s="1462"/>
      <c r="G34" s="1462"/>
      <c r="H34" s="1462"/>
      <c r="I34" s="1462"/>
      <c r="J34" s="1462"/>
      <c r="K34" s="1462"/>
      <c r="L34" s="1462"/>
      <c r="M34" s="1462"/>
      <c r="N34" s="1462"/>
      <c r="O34" s="1462"/>
      <c r="P34" s="1462"/>
      <c r="Q34" s="1462"/>
      <c r="R34" s="1462"/>
      <c r="S34" s="1462"/>
      <c r="T34" s="1462"/>
      <c r="U34" s="1462"/>
      <c r="V34" s="1462"/>
      <c r="W34" s="1462"/>
      <c r="X34" s="1462"/>
      <c r="Y34" s="1462"/>
      <c r="Z34" s="1462"/>
      <c r="AA34" s="1462"/>
      <c r="AB34" s="1462"/>
      <c r="AC34" s="1462"/>
      <c r="AD34" s="1462"/>
      <c r="AE34" s="1462"/>
      <c r="AF34" s="1462"/>
      <c r="AG34" s="1462"/>
      <c r="AH34" s="1462"/>
      <c r="AI34" s="1462"/>
      <c r="AJ34" s="1462"/>
      <c r="AK34" s="1462"/>
      <c r="AL34" s="1462"/>
      <c r="AM34" s="1462"/>
      <c r="AN34" s="1462"/>
      <c r="AO34" s="1462"/>
      <c r="AP34" s="1462"/>
      <c r="AQ34" s="1462"/>
      <c r="AR34" s="1462"/>
      <c r="AS34" s="1462"/>
      <c r="AT34" s="1462"/>
      <c r="AU34" s="1462"/>
      <c r="AV34" s="1462"/>
      <c r="AW34" s="1462"/>
      <c r="AX34" s="1462"/>
      <c r="AY34" s="1462"/>
      <c r="AZ34" s="1462"/>
      <c r="BA34" s="1462"/>
      <c r="BB34" s="1462"/>
      <c r="BC34" s="1462"/>
      <c r="BD34" s="1462"/>
      <c r="BE34" s="1278"/>
      <c r="BG34" s="1280"/>
      <c r="BH34" s="1280"/>
      <c r="BI34" s="1280"/>
      <c r="BJ34" s="1280"/>
      <c r="BK34" s="1281"/>
    </row>
    <row r="35" spans="1:63" s="1290" customFormat="1" ht="14.25" customHeight="1" thickBot="1">
      <c r="A35" s="1289"/>
      <c r="B35" s="1282"/>
      <c r="C35" s="1464" t="s">
        <v>844</v>
      </c>
      <c r="D35" s="1464"/>
      <c r="E35" s="1464"/>
      <c r="F35" s="1464"/>
      <c r="G35" s="1464"/>
      <c r="H35" s="1464"/>
      <c r="I35" s="1464"/>
      <c r="J35" s="1464"/>
      <c r="K35" s="1464"/>
      <c r="L35" s="1464"/>
      <c r="M35" s="1464"/>
      <c r="N35" s="1464"/>
      <c r="O35" s="1464"/>
      <c r="P35" s="1464"/>
      <c r="Q35" s="1464"/>
      <c r="R35" s="1464"/>
      <c r="S35" s="1464"/>
      <c r="T35" s="1464"/>
      <c r="U35" s="1464"/>
      <c r="V35" s="1464"/>
      <c r="W35" s="1464"/>
      <c r="X35" s="1464"/>
      <c r="Y35" s="1464"/>
      <c r="Z35" s="1464"/>
      <c r="AA35" s="1464"/>
      <c r="AB35" s="1464"/>
      <c r="AC35" s="1464"/>
      <c r="AD35" s="1464"/>
      <c r="AE35" s="1464"/>
      <c r="AF35" s="1464"/>
      <c r="AG35" s="1464"/>
      <c r="AH35" s="1464"/>
      <c r="AI35" s="1464"/>
      <c r="AJ35" s="1464"/>
      <c r="AK35" s="1464"/>
      <c r="AL35" s="1464"/>
      <c r="AM35" s="1464"/>
      <c r="AN35" s="1464"/>
      <c r="AO35" s="1464"/>
      <c r="AP35" s="1464"/>
      <c r="AQ35" s="1464"/>
      <c r="AR35" s="1464"/>
      <c r="AS35" s="1464"/>
      <c r="AT35" s="1464"/>
      <c r="AU35" s="1464"/>
      <c r="AV35" s="1464"/>
      <c r="AW35" s="1464"/>
      <c r="AX35" s="1464"/>
      <c r="AY35" s="1464"/>
      <c r="AZ35" s="1464"/>
      <c r="BA35" s="1464"/>
      <c r="BB35" s="1464"/>
      <c r="BC35" s="1464"/>
      <c r="BD35" s="1464"/>
      <c r="BE35" s="1283"/>
      <c r="BG35" s="1280"/>
      <c r="BH35" s="1280"/>
      <c r="BI35" s="1280"/>
      <c r="BJ35" s="1280"/>
      <c r="BK35" s="1281"/>
    </row>
    <row r="36" spans="1:63" s="1279" customFormat="1" ht="2.25" customHeight="1" thickBot="1">
      <c r="A36" s="1276"/>
      <c r="B36" s="1276"/>
      <c r="C36" s="1276"/>
      <c r="D36" s="1276"/>
      <c r="E36" s="1276"/>
      <c r="F36" s="1276"/>
      <c r="G36" s="1276"/>
      <c r="H36" s="1276"/>
      <c r="I36" s="1276"/>
      <c r="J36" s="1276"/>
      <c r="K36" s="1276"/>
      <c r="L36" s="1276"/>
      <c r="M36" s="1276"/>
      <c r="N36" s="1276"/>
      <c r="O36" s="1276"/>
      <c r="P36" s="1276"/>
      <c r="Q36" s="1276"/>
      <c r="R36" s="1276"/>
      <c r="S36" s="1276"/>
      <c r="T36" s="1276"/>
      <c r="U36" s="1276"/>
      <c r="V36" s="1276"/>
      <c r="W36" s="1276"/>
      <c r="X36" s="1276"/>
      <c r="Y36" s="1276"/>
      <c r="Z36" s="1276"/>
      <c r="AA36" s="1276"/>
      <c r="AB36" s="1276"/>
      <c r="AC36" s="1276"/>
      <c r="AD36" s="1276"/>
      <c r="AE36" s="1276"/>
      <c r="AF36" s="1276"/>
      <c r="AG36" s="1276"/>
      <c r="AH36" s="1276"/>
      <c r="AI36" s="1276"/>
      <c r="AJ36" s="1276"/>
      <c r="AK36" s="1276"/>
      <c r="AL36" s="1276"/>
      <c r="AM36" s="1276"/>
      <c r="AN36" s="1276"/>
      <c r="AO36" s="1276"/>
      <c r="AP36" s="1276"/>
      <c r="AQ36" s="1276"/>
      <c r="AR36" s="1276"/>
      <c r="AS36" s="1276"/>
      <c r="AT36" s="1276"/>
      <c r="AU36" s="1276"/>
      <c r="AV36" s="1276"/>
      <c r="AW36" s="1276"/>
      <c r="AX36" s="1276"/>
      <c r="AY36" s="1276"/>
      <c r="AZ36" s="1276"/>
      <c r="BA36" s="1276"/>
      <c r="BB36" s="1276"/>
      <c r="BC36" s="1276"/>
      <c r="BD36" s="1276"/>
      <c r="BE36" s="1276"/>
      <c r="BG36" s="1280"/>
      <c r="BH36" s="1280"/>
      <c r="BI36" s="1280"/>
      <c r="BJ36" s="1280"/>
      <c r="BK36" s="1281"/>
    </row>
    <row r="37" spans="1:63" ht="13.5" customHeight="1">
      <c r="A37" s="631"/>
      <c r="B37" s="933"/>
      <c r="C37" s="934" t="s">
        <v>845</v>
      </c>
      <c r="D37" s="935"/>
      <c r="E37" s="936"/>
      <c r="F37" s="936"/>
      <c r="G37" s="936"/>
      <c r="H37" s="936"/>
      <c r="I37" s="936"/>
      <c r="J37" s="936"/>
      <c r="K37" s="936"/>
      <c r="L37" s="936"/>
      <c r="M37" s="936"/>
      <c r="N37" s="936"/>
      <c r="O37" s="936"/>
      <c r="P37" s="936"/>
      <c r="Q37" s="936"/>
      <c r="R37" s="936"/>
      <c r="S37" s="936"/>
      <c r="T37" s="936"/>
      <c r="U37" s="936"/>
      <c r="V37" s="936"/>
      <c r="W37" s="936"/>
      <c r="X37" s="936"/>
      <c r="Y37" s="936"/>
      <c r="Z37" s="936"/>
      <c r="AA37" s="936"/>
      <c r="AB37" s="936"/>
      <c r="AC37" s="936"/>
      <c r="AD37" s="936"/>
      <c r="AE37" s="936"/>
      <c r="AF37" s="936"/>
      <c r="AG37" s="936"/>
      <c r="AH37" s="936"/>
      <c r="AI37" s="936"/>
      <c r="AJ37" s="936"/>
      <c r="AK37" s="936"/>
      <c r="AL37" s="936"/>
      <c r="AM37" s="936"/>
      <c r="AN37" s="936"/>
      <c r="AO37" s="936"/>
      <c r="AP37" s="936"/>
      <c r="AQ37" s="936"/>
      <c r="AR37" s="936"/>
      <c r="AS37" s="936"/>
      <c r="AT37" s="936"/>
      <c r="AU37" s="936"/>
      <c r="AV37" s="936"/>
      <c r="AW37" s="936"/>
      <c r="AX37" s="936"/>
      <c r="AY37" s="936"/>
      <c r="AZ37" s="936"/>
      <c r="BA37" s="936"/>
      <c r="BB37" s="936"/>
      <c r="BC37" s="936"/>
      <c r="BD37" s="936"/>
      <c r="BE37" s="702"/>
    </row>
    <row r="38" spans="1:63" s="1290" customFormat="1" ht="116.25" customHeight="1">
      <c r="A38" s="1289"/>
      <c r="B38" s="1287"/>
      <c r="C38" s="1461" t="s">
        <v>915</v>
      </c>
      <c r="D38" s="1461"/>
      <c r="E38" s="1461"/>
      <c r="F38" s="1461"/>
      <c r="G38" s="1461"/>
      <c r="H38" s="1461"/>
      <c r="I38" s="1461"/>
      <c r="J38" s="1461"/>
      <c r="K38" s="1461"/>
      <c r="L38" s="1461"/>
      <c r="M38" s="1461"/>
      <c r="N38" s="1461"/>
      <c r="O38" s="1461"/>
      <c r="P38" s="1461"/>
      <c r="Q38" s="1461"/>
      <c r="R38" s="1461"/>
      <c r="S38" s="1461"/>
      <c r="T38" s="1461"/>
      <c r="U38" s="1461"/>
      <c r="V38" s="1461"/>
      <c r="W38" s="1461"/>
      <c r="X38" s="1461"/>
      <c r="Y38" s="1461"/>
      <c r="Z38" s="1461"/>
      <c r="AA38" s="1461"/>
      <c r="AB38" s="1461"/>
      <c r="AC38" s="1461"/>
      <c r="AD38" s="1461"/>
      <c r="AE38" s="1461"/>
      <c r="AF38" s="1461"/>
      <c r="AG38" s="1461"/>
      <c r="AH38" s="1461"/>
      <c r="AI38" s="1461"/>
      <c r="AJ38" s="1461"/>
      <c r="AK38" s="1461"/>
      <c r="AL38" s="1461"/>
      <c r="AM38" s="1461"/>
      <c r="AN38" s="1461"/>
      <c r="AO38" s="1461"/>
      <c r="AP38" s="1461"/>
      <c r="AQ38" s="1461"/>
      <c r="AR38" s="1461"/>
      <c r="AS38" s="1461"/>
      <c r="AT38" s="1461"/>
      <c r="AU38" s="1461"/>
      <c r="AV38" s="1461"/>
      <c r="AW38" s="1461"/>
      <c r="AX38" s="1461"/>
      <c r="AY38" s="1461"/>
      <c r="AZ38" s="1461"/>
      <c r="BA38" s="1461"/>
      <c r="BB38" s="1461"/>
      <c r="BC38" s="1461"/>
      <c r="BD38" s="1461"/>
      <c r="BE38" s="1278"/>
      <c r="BG38" s="1280"/>
      <c r="BH38" s="1280"/>
      <c r="BI38" s="1280"/>
      <c r="BJ38" s="1280"/>
      <c r="BK38" s="1288"/>
    </row>
    <row r="39" spans="1:63" s="1290" customFormat="1" ht="38.25" customHeight="1" thickBot="1">
      <c r="A39" s="1289"/>
      <c r="B39" s="1282"/>
      <c r="C39" s="1464" t="s">
        <v>846</v>
      </c>
      <c r="D39" s="1464"/>
      <c r="E39" s="1464"/>
      <c r="F39" s="1464"/>
      <c r="G39" s="1464"/>
      <c r="H39" s="1464"/>
      <c r="I39" s="1464"/>
      <c r="J39" s="1464"/>
      <c r="K39" s="1464"/>
      <c r="L39" s="1464"/>
      <c r="M39" s="1464"/>
      <c r="N39" s="1464"/>
      <c r="O39" s="1464"/>
      <c r="P39" s="1464"/>
      <c r="Q39" s="1464"/>
      <c r="R39" s="1464"/>
      <c r="S39" s="1464"/>
      <c r="T39" s="1464"/>
      <c r="U39" s="1464"/>
      <c r="V39" s="1464"/>
      <c r="W39" s="1464"/>
      <c r="X39" s="1464"/>
      <c r="Y39" s="1464"/>
      <c r="Z39" s="1464"/>
      <c r="AA39" s="1464"/>
      <c r="AB39" s="1464"/>
      <c r="AC39" s="1464"/>
      <c r="AD39" s="1464"/>
      <c r="AE39" s="1464"/>
      <c r="AF39" s="1464"/>
      <c r="AG39" s="1464"/>
      <c r="AH39" s="1464"/>
      <c r="AI39" s="1464"/>
      <c r="AJ39" s="1464"/>
      <c r="AK39" s="1464"/>
      <c r="AL39" s="1464"/>
      <c r="AM39" s="1464"/>
      <c r="AN39" s="1464"/>
      <c r="AO39" s="1464"/>
      <c r="AP39" s="1464"/>
      <c r="AQ39" s="1464"/>
      <c r="AR39" s="1464"/>
      <c r="AS39" s="1464"/>
      <c r="AT39" s="1464"/>
      <c r="AU39" s="1464"/>
      <c r="AV39" s="1464"/>
      <c r="AW39" s="1464"/>
      <c r="AX39" s="1464"/>
      <c r="AY39" s="1464"/>
      <c r="AZ39" s="1464"/>
      <c r="BA39" s="1464"/>
      <c r="BB39" s="1464"/>
      <c r="BC39" s="1464"/>
      <c r="BD39" s="1464"/>
      <c r="BE39" s="1283"/>
      <c r="BG39" s="1280"/>
      <c r="BH39" s="1280"/>
      <c r="BI39" s="1280"/>
      <c r="BJ39" s="1280"/>
      <c r="BK39" s="1288"/>
    </row>
    <row r="40" spans="1:63" s="1290" customFormat="1" ht="25.5" customHeight="1">
      <c r="A40" s="1289"/>
      <c r="B40" s="1287"/>
      <c r="C40" s="1461" t="s">
        <v>944</v>
      </c>
      <c r="D40" s="1461"/>
      <c r="E40" s="1461"/>
      <c r="F40" s="1461"/>
      <c r="G40" s="1461"/>
      <c r="H40" s="1461"/>
      <c r="I40" s="1461"/>
      <c r="J40" s="1461"/>
      <c r="K40" s="1461"/>
      <c r="L40" s="1461"/>
      <c r="M40" s="1461"/>
      <c r="N40" s="1461"/>
      <c r="O40" s="1461"/>
      <c r="P40" s="1461"/>
      <c r="Q40" s="1461"/>
      <c r="R40" s="1461"/>
      <c r="S40" s="1461"/>
      <c r="T40" s="1461"/>
      <c r="U40" s="1461"/>
      <c r="V40" s="1461"/>
      <c r="W40" s="1461"/>
      <c r="X40" s="1461"/>
      <c r="Y40" s="1461"/>
      <c r="Z40" s="1461"/>
      <c r="AA40" s="1461"/>
      <c r="AB40" s="1461"/>
      <c r="AC40" s="1461"/>
      <c r="AD40" s="1461"/>
      <c r="AE40" s="1461"/>
      <c r="AF40" s="1461"/>
      <c r="AG40" s="1461"/>
      <c r="AH40" s="1461"/>
      <c r="AI40" s="1461"/>
      <c r="AJ40" s="1461"/>
      <c r="AK40" s="1461"/>
      <c r="AL40" s="1461"/>
      <c r="AM40" s="1461"/>
      <c r="AN40" s="1461"/>
      <c r="AO40" s="1461"/>
      <c r="AP40" s="1461"/>
      <c r="AQ40" s="1461"/>
      <c r="AR40" s="1461"/>
      <c r="AS40" s="1461"/>
      <c r="AT40" s="1461"/>
      <c r="AU40" s="1461"/>
      <c r="AV40" s="1461"/>
      <c r="AW40" s="1461"/>
      <c r="AX40" s="1461"/>
      <c r="AY40" s="1461"/>
      <c r="AZ40" s="1461"/>
      <c r="BA40" s="1461"/>
      <c r="BB40" s="1461"/>
      <c r="BC40" s="1461"/>
      <c r="BD40" s="1461"/>
      <c r="BE40" s="1278"/>
      <c r="BG40" s="1280"/>
      <c r="BH40" s="1280"/>
      <c r="BI40" s="1280"/>
      <c r="BJ40" s="1280"/>
      <c r="BK40" s="1288"/>
    </row>
    <row r="41" spans="1:63" s="1290" customFormat="1" ht="52.5" customHeight="1">
      <c r="A41" s="1289"/>
      <c r="B41" s="1287"/>
      <c r="C41" s="1461" t="s">
        <v>945</v>
      </c>
      <c r="D41" s="1461"/>
      <c r="E41" s="1461"/>
      <c r="F41" s="1461"/>
      <c r="G41" s="1461"/>
      <c r="H41" s="1461"/>
      <c r="I41" s="1461"/>
      <c r="J41" s="1461"/>
      <c r="K41" s="1461"/>
      <c r="L41" s="1461"/>
      <c r="M41" s="1461"/>
      <c r="N41" s="1461"/>
      <c r="O41" s="1461"/>
      <c r="P41" s="1461"/>
      <c r="Q41" s="1461"/>
      <c r="R41" s="1461"/>
      <c r="S41" s="1461"/>
      <c r="T41" s="1461"/>
      <c r="U41" s="1461"/>
      <c r="V41" s="1461"/>
      <c r="W41" s="1461"/>
      <c r="X41" s="1461"/>
      <c r="Y41" s="1461"/>
      <c r="Z41" s="1461"/>
      <c r="AA41" s="1461"/>
      <c r="AB41" s="1461"/>
      <c r="AC41" s="1461"/>
      <c r="AD41" s="1461"/>
      <c r="AE41" s="1461"/>
      <c r="AF41" s="1461"/>
      <c r="AG41" s="1461"/>
      <c r="AH41" s="1461"/>
      <c r="AI41" s="1461"/>
      <c r="AJ41" s="1461"/>
      <c r="AK41" s="1461"/>
      <c r="AL41" s="1461"/>
      <c r="AM41" s="1461"/>
      <c r="AN41" s="1461"/>
      <c r="AO41" s="1461"/>
      <c r="AP41" s="1461"/>
      <c r="AQ41" s="1461"/>
      <c r="AR41" s="1461"/>
      <c r="AS41" s="1461"/>
      <c r="AT41" s="1461"/>
      <c r="AU41" s="1461"/>
      <c r="AV41" s="1461"/>
      <c r="AW41" s="1461"/>
      <c r="AX41" s="1461"/>
      <c r="AY41" s="1461"/>
      <c r="AZ41" s="1461"/>
      <c r="BA41" s="1461"/>
      <c r="BB41" s="1461"/>
      <c r="BC41" s="1461"/>
      <c r="BD41" s="1461"/>
      <c r="BE41" s="1278"/>
      <c r="BG41" s="1280"/>
      <c r="BH41" s="1280"/>
      <c r="BI41" s="1280"/>
      <c r="BJ41" s="1280"/>
      <c r="BK41" s="1288"/>
    </row>
    <row r="42" spans="1:63" s="1290" customFormat="1" ht="27" customHeight="1">
      <c r="A42" s="1289"/>
      <c r="B42" s="1287"/>
      <c r="C42" s="1461" t="s">
        <v>946</v>
      </c>
      <c r="D42" s="1461"/>
      <c r="E42" s="1461"/>
      <c r="F42" s="1461"/>
      <c r="G42" s="1461"/>
      <c r="H42" s="1461"/>
      <c r="I42" s="1461"/>
      <c r="J42" s="1461"/>
      <c r="K42" s="1461"/>
      <c r="L42" s="1461"/>
      <c r="M42" s="1461"/>
      <c r="N42" s="1461"/>
      <c r="O42" s="1461"/>
      <c r="P42" s="1461"/>
      <c r="Q42" s="1461"/>
      <c r="R42" s="1461"/>
      <c r="S42" s="1461"/>
      <c r="T42" s="1461"/>
      <c r="U42" s="1461"/>
      <c r="V42" s="1461"/>
      <c r="W42" s="1461"/>
      <c r="X42" s="1461"/>
      <c r="Y42" s="1461"/>
      <c r="Z42" s="1461"/>
      <c r="AA42" s="1461"/>
      <c r="AB42" s="1461"/>
      <c r="AC42" s="1461"/>
      <c r="AD42" s="1461"/>
      <c r="AE42" s="1461"/>
      <c r="AF42" s="1461"/>
      <c r="AG42" s="1461"/>
      <c r="AH42" s="1461"/>
      <c r="AI42" s="1461"/>
      <c r="AJ42" s="1461"/>
      <c r="AK42" s="1461"/>
      <c r="AL42" s="1461"/>
      <c r="AM42" s="1461"/>
      <c r="AN42" s="1461"/>
      <c r="AO42" s="1461"/>
      <c r="AP42" s="1461"/>
      <c r="AQ42" s="1461"/>
      <c r="AR42" s="1461"/>
      <c r="AS42" s="1461"/>
      <c r="AT42" s="1461"/>
      <c r="AU42" s="1461"/>
      <c r="AV42" s="1461"/>
      <c r="AW42" s="1461"/>
      <c r="AX42" s="1461"/>
      <c r="AY42" s="1461"/>
      <c r="AZ42" s="1461"/>
      <c r="BA42" s="1461"/>
      <c r="BB42" s="1461"/>
      <c r="BC42" s="1461"/>
      <c r="BD42" s="1461"/>
      <c r="BE42" s="1278"/>
      <c r="BG42" s="1280"/>
      <c r="BH42" s="1280"/>
      <c r="BI42" s="1280"/>
      <c r="BJ42" s="1280"/>
      <c r="BK42" s="1288"/>
    </row>
    <row r="43" spans="1:63" ht="2.25" customHeight="1" thickBot="1">
      <c r="A43" s="631"/>
      <c r="B43" s="631"/>
      <c r="C43" s="631"/>
      <c r="D43" s="631"/>
      <c r="E43" s="631"/>
      <c r="F43" s="631"/>
      <c r="G43" s="631"/>
      <c r="H43" s="631"/>
      <c r="I43" s="631"/>
      <c r="J43" s="631"/>
      <c r="K43" s="631"/>
      <c r="L43" s="631"/>
      <c r="M43" s="631"/>
      <c r="N43" s="631"/>
      <c r="O43" s="631"/>
      <c r="P43" s="631"/>
      <c r="Q43" s="631"/>
      <c r="R43" s="631"/>
      <c r="S43" s="631"/>
      <c r="T43" s="631"/>
      <c r="U43" s="631"/>
      <c r="V43" s="631"/>
      <c r="W43" s="631"/>
      <c r="X43" s="631"/>
      <c r="Y43" s="631"/>
      <c r="Z43" s="631"/>
      <c r="AA43" s="631"/>
      <c r="AB43" s="631"/>
      <c r="AC43" s="631"/>
      <c r="AD43" s="631"/>
      <c r="AE43" s="631"/>
      <c r="AF43" s="631"/>
      <c r="AG43" s="631"/>
      <c r="AH43" s="631"/>
      <c r="AI43" s="631"/>
      <c r="AJ43" s="631"/>
      <c r="AK43" s="631"/>
      <c r="AL43" s="631"/>
      <c r="AM43" s="631"/>
      <c r="AN43" s="631"/>
      <c r="AO43" s="631"/>
      <c r="AP43" s="631"/>
      <c r="AQ43" s="631"/>
      <c r="AR43" s="631"/>
      <c r="AS43" s="631"/>
      <c r="AT43" s="631"/>
      <c r="AU43" s="631"/>
      <c r="AV43" s="631"/>
      <c r="AW43" s="631"/>
      <c r="AX43" s="631"/>
      <c r="AY43" s="631"/>
      <c r="AZ43" s="631"/>
      <c r="BA43" s="631"/>
      <c r="BB43" s="631"/>
      <c r="BC43" s="631"/>
      <c r="BD43" s="631"/>
      <c r="BE43" s="631"/>
    </row>
    <row r="44" spans="1:63" ht="13.5" customHeight="1">
      <c r="A44" s="631"/>
      <c r="B44" s="940"/>
      <c r="C44" s="941" t="s">
        <v>851</v>
      </c>
      <c r="D44" s="939"/>
      <c r="E44" s="936"/>
      <c r="F44" s="936"/>
      <c r="G44" s="936"/>
      <c r="H44" s="936"/>
      <c r="I44" s="936"/>
      <c r="J44" s="936"/>
      <c r="K44" s="936"/>
      <c r="L44" s="936"/>
      <c r="M44" s="936"/>
      <c r="N44" s="936"/>
      <c r="O44" s="936"/>
      <c r="P44" s="936"/>
      <c r="Q44" s="936"/>
      <c r="R44" s="936"/>
      <c r="S44" s="936"/>
      <c r="T44" s="936"/>
      <c r="U44" s="936"/>
      <c r="V44" s="936"/>
      <c r="W44" s="936"/>
      <c r="X44" s="936"/>
      <c r="Y44" s="936"/>
      <c r="Z44" s="936"/>
      <c r="AA44" s="936"/>
      <c r="AB44" s="936"/>
      <c r="AC44" s="936"/>
      <c r="AD44" s="936"/>
      <c r="AE44" s="936"/>
      <c r="AF44" s="936"/>
      <c r="AG44" s="936"/>
      <c r="AH44" s="936"/>
      <c r="AI44" s="936"/>
      <c r="AJ44" s="936"/>
      <c r="AK44" s="936"/>
      <c r="AL44" s="936"/>
      <c r="AM44" s="936"/>
      <c r="AN44" s="936"/>
      <c r="AO44" s="936"/>
      <c r="AP44" s="936"/>
      <c r="AQ44" s="936"/>
      <c r="AR44" s="936"/>
      <c r="AS44" s="936"/>
      <c r="AT44" s="936"/>
      <c r="AU44" s="936"/>
      <c r="AV44" s="936"/>
      <c r="AW44" s="936"/>
      <c r="AX44" s="936"/>
      <c r="AY44" s="936"/>
      <c r="AZ44" s="936"/>
      <c r="BA44" s="936"/>
      <c r="BB44" s="936"/>
      <c r="BC44" s="936"/>
      <c r="BD44" s="936"/>
      <c r="BE44" s="702"/>
    </row>
    <row r="45" spans="1:63" s="1290" customFormat="1" ht="38.25" customHeight="1">
      <c r="A45" s="1289"/>
      <c r="B45" s="1469" t="s">
        <v>792</v>
      </c>
      <c r="C45" s="1470"/>
      <c r="D45" s="1471" t="s">
        <v>852</v>
      </c>
      <c r="E45" s="1471"/>
      <c r="F45" s="1471"/>
      <c r="G45" s="1471"/>
      <c r="H45" s="1471"/>
      <c r="I45" s="1471"/>
      <c r="J45" s="1471"/>
      <c r="K45" s="1471"/>
      <c r="L45" s="1471"/>
      <c r="M45" s="1471"/>
      <c r="N45" s="1471"/>
      <c r="O45" s="1471"/>
      <c r="P45" s="1471"/>
      <c r="Q45" s="1471"/>
      <c r="R45" s="1471"/>
      <c r="S45" s="1471"/>
      <c r="T45" s="1471"/>
      <c r="U45" s="1471"/>
      <c r="V45" s="1471"/>
      <c r="W45" s="1471"/>
      <c r="X45" s="1471"/>
      <c r="Y45" s="1471"/>
      <c r="Z45" s="1471"/>
      <c r="AA45" s="1471"/>
      <c r="AB45" s="1471"/>
      <c r="AC45" s="1471"/>
      <c r="AD45" s="1471"/>
      <c r="AE45" s="1471"/>
      <c r="AF45" s="1471"/>
      <c r="AG45" s="1471"/>
      <c r="AH45" s="1471"/>
      <c r="AI45" s="1471"/>
      <c r="AJ45" s="1471"/>
      <c r="AK45" s="1471"/>
      <c r="AL45" s="1471"/>
      <c r="AM45" s="1471"/>
      <c r="AN45" s="1471"/>
      <c r="AO45" s="1471"/>
      <c r="AP45" s="1471"/>
      <c r="AQ45" s="1471"/>
      <c r="AR45" s="1471"/>
      <c r="AS45" s="1471"/>
      <c r="AT45" s="1471"/>
      <c r="AU45" s="1471"/>
      <c r="AV45" s="1471"/>
      <c r="AW45" s="1471"/>
      <c r="AX45" s="1471"/>
      <c r="AY45" s="1471"/>
      <c r="AZ45" s="1471"/>
      <c r="BA45" s="1471"/>
      <c r="BB45" s="1471"/>
      <c r="BC45" s="1471"/>
      <c r="BD45" s="1471"/>
      <c r="BE45" s="1278"/>
      <c r="BG45" s="1280"/>
      <c r="BH45" s="1280"/>
      <c r="BI45" s="1280"/>
      <c r="BJ45" s="1280"/>
      <c r="BK45" s="1281"/>
    </row>
    <row r="46" spans="1:63" s="1290" customFormat="1" ht="39.75" customHeight="1" thickBot="1">
      <c r="A46" s="1289"/>
      <c r="B46" s="1465" t="s">
        <v>802</v>
      </c>
      <c r="C46" s="1466"/>
      <c r="D46" s="1467" t="s">
        <v>853</v>
      </c>
      <c r="E46" s="1467"/>
      <c r="F46" s="1467"/>
      <c r="G46" s="1467"/>
      <c r="H46" s="1467"/>
      <c r="I46" s="1467"/>
      <c r="J46" s="1467"/>
      <c r="K46" s="1467"/>
      <c r="L46" s="1467"/>
      <c r="M46" s="1467"/>
      <c r="N46" s="1467"/>
      <c r="O46" s="1467"/>
      <c r="P46" s="1467"/>
      <c r="Q46" s="1467"/>
      <c r="R46" s="1467"/>
      <c r="S46" s="1467"/>
      <c r="T46" s="1467"/>
      <c r="U46" s="1467"/>
      <c r="V46" s="1467"/>
      <c r="W46" s="1467"/>
      <c r="X46" s="1467"/>
      <c r="Y46" s="1467"/>
      <c r="Z46" s="1467"/>
      <c r="AA46" s="1467"/>
      <c r="AB46" s="1467"/>
      <c r="AC46" s="1467"/>
      <c r="AD46" s="1467"/>
      <c r="AE46" s="1467"/>
      <c r="AF46" s="1467"/>
      <c r="AG46" s="1467"/>
      <c r="AH46" s="1467"/>
      <c r="AI46" s="1467"/>
      <c r="AJ46" s="1467"/>
      <c r="AK46" s="1467"/>
      <c r="AL46" s="1467"/>
      <c r="AM46" s="1467"/>
      <c r="AN46" s="1467"/>
      <c r="AO46" s="1467"/>
      <c r="AP46" s="1467"/>
      <c r="AQ46" s="1467"/>
      <c r="AR46" s="1467"/>
      <c r="AS46" s="1467"/>
      <c r="AT46" s="1467"/>
      <c r="AU46" s="1467"/>
      <c r="AV46" s="1467"/>
      <c r="AW46" s="1467"/>
      <c r="AX46" s="1467"/>
      <c r="AY46" s="1467"/>
      <c r="AZ46" s="1467"/>
      <c r="BA46" s="1467"/>
      <c r="BB46" s="1467"/>
      <c r="BC46" s="1467"/>
      <c r="BD46" s="1467"/>
      <c r="BE46" s="1292"/>
      <c r="BG46" s="1280"/>
      <c r="BH46" s="1280"/>
      <c r="BI46" s="1280"/>
      <c r="BJ46" s="1280"/>
      <c r="BK46" s="1281"/>
    </row>
    <row r="47" spans="1:63" ht="3.75" hidden="1" customHeight="1">
      <c r="A47" s="631"/>
      <c r="B47" s="978"/>
      <c r="C47" s="978"/>
      <c r="D47" s="951"/>
      <c r="E47" s="951"/>
      <c r="F47" s="951"/>
      <c r="G47" s="951"/>
      <c r="H47" s="951"/>
      <c r="I47" s="951"/>
      <c r="J47" s="951"/>
      <c r="K47" s="951"/>
      <c r="L47" s="951"/>
      <c r="M47" s="951"/>
      <c r="N47" s="951"/>
      <c r="O47" s="951"/>
      <c r="P47" s="951"/>
      <c r="Q47" s="951"/>
      <c r="R47" s="951"/>
      <c r="S47" s="951"/>
      <c r="T47" s="951"/>
      <c r="U47" s="951"/>
      <c r="V47" s="951"/>
      <c r="W47" s="951"/>
      <c r="X47" s="951"/>
      <c r="Y47" s="951"/>
      <c r="Z47" s="951"/>
      <c r="AA47" s="951"/>
      <c r="AB47" s="951"/>
      <c r="AC47" s="951"/>
      <c r="AD47" s="951"/>
      <c r="AE47" s="951"/>
      <c r="AF47" s="951"/>
      <c r="AG47" s="951"/>
      <c r="AH47" s="951"/>
      <c r="AI47" s="951"/>
      <c r="AJ47" s="951"/>
      <c r="AK47" s="951"/>
      <c r="AL47" s="951"/>
      <c r="AM47" s="951"/>
      <c r="AN47" s="951"/>
      <c r="AO47" s="951"/>
      <c r="AP47" s="951"/>
      <c r="AQ47" s="951"/>
      <c r="AR47" s="951"/>
      <c r="AS47" s="951"/>
      <c r="AT47" s="951"/>
      <c r="AU47" s="951"/>
      <c r="AV47" s="951"/>
      <c r="AW47" s="951"/>
      <c r="AX47" s="951"/>
      <c r="AY47" s="951"/>
      <c r="AZ47" s="951"/>
      <c r="BA47" s="951"/>
      <c r="BB47" s="951"/>
      <c r="BC47" s="951"/>
      <c r="BD47" s="951"/>
      <c r="BE47" s="979"/>
    </row>
    <row r="48" spans="1:63" ht="10.5" customHeight="1">
      <c r="A48" s="631"/>
      <c r="B48" s="775"/>
      <c r="C48" s="775"/>
      <c r="D48" s="775"/>
      <c r="E48" s="775"/>
      <c r="F48" s="775"/>
      <c r="G48" s="775"/>
      <c r="H48" s="775"/>
      <c r="I48" s="775"/>
      <c r="J48" s="775"/>
      <c r="K48" s="775"/>
      <c r="L48" s="775"/>
      <c r="M48" s="775"/>
      <c r="N48" s="775"/>
      <c r="O48" s="775"/>
      <c r="P48" s="775"/>
      <c r="Q48" s="775"/>
      <c r="R48" s="775"/>
      <c r="S48" s="775"/>
      <c r="T48" s="775"/>
      <c r="U48" s="775"/>
      <c r="V48" s="775"/>
      <c r="W48" s="775"/>
      <c r="X48" s="775"/>
      <c r="Y48" s="775"/>
      <c r="Z48" s="775"/>
      <c r="AA48" s="775"/>
      <c r="AB48" s="775"/>
      <c r="AC48" s="775"/>
      <c r="AD48" s="775"/>
      <c r="AE48" s="775"/>
      <c r="AF48" s="775"/>
      <c r="AG48" s="775"/>
      <c r="AH48" s="775"/>
      <c r="AI48" s="775"/>
      <c r="AJ48" s="775"/>
      <c r="AK48" s="775"/>
      <c r="AL48" s="775"/>
      <c r="AM48" s="775"/>
      <c r="AN48" s="775"/>
      <c r="AO48" s="775"/>
      <c r="AP48" s="775"/>
      <c r="AQ48" s="775"/>
      <c r="AR48" s="775"/>
      <c r="AS48" s="775"/>
      <c r="AT48" s="775"/>
      <c r="AU48" s="775"/>
      <c r="AV48" s="775"/>
      <c r="AW48" s="775"/>
      <c r="AX48" s="775"/>
      <c r="AY48" s="775"/>
      <c r="AZ48" s="775"/>
      <c r="BA48" s="775"/>
      <c r="BB48" s="775"/>
      <c r="BC48" s="1293"/>
      <c r="BD48" s="1294" t="s">
        <v>940</v>
      </c>
      <c r="BE48" s="843"/>
    </row>
    <row r="49" spans="1:57" ht="13.5" customHeight="1">
      <c r="A49" s="631"/>
      <c r="B49" s="977"/>
      <c r="C49" s="977"/>
      <c r="D49" s="870"/>
      <c r="E49" s="943"/>
      <c r="F49" s="943"/>
      <c r="G49" s="943"/>
      <c r="H49" s="943"/>
      <c r="I49" s="943"/>
      <c r="J49" s="943"/>
      <c r="K49" s="943"/>
      <c r="L49" s="943"/>
      <c r="M49" s="943"/>
      <c r="N49" s="943"/>
      <c r="O49" s="943"/>
      <c r="P49" s="943"/>
      <c r="Q49" s="943"/>
      <c r="R49" s="943"/>
      <c r="S49" s="943"/>
      <c r="T49" s="943"/>
      <c r="U49" s="943"/>
      <c r="V49" s="943"/>
      <c r="W49" s="943"/>
      <c r="X49" s="943"/>
      <c r="Y49" s="943"/>
      <c r="Z49" s="943"/>
      <c r="AA49" s="943"/>
      <c r="AB49" s="943"/>
      <c r="AC49" s="943"/>
      <c r="AD49" s="943"/>
      <c r="AE49" s="943"/>
      <c r="AF49" s="943"/>
      <c r="AG49" s="943"/>
      <c r="AH49" s="943"/>
      <c r="AI49" s="943"/>
      <c r="AJ49" s="943"/>
      <c r="AK49" s="943"/>
      <c r="AL49" s="943"/>
      <c r="AM49" s="943"/>
      <c r="AN49" s="943"/>
      <c r="AO49" s="943"/>
      <c r="AP49" s="943"/>
      <c r="AQ49" s="943"/>
      <c r="AR49" s="943"/>
      <c r="AS49" s="943"/>
      <c r="AT49" s="943"/>
      <c r="AU49" s="943"/>
      <c r="AV49" s="943"/>
      <c r="AW49" s="943"/>
      <c r="AX49" s="943"/>
      <c r="AY49" s="943"/>
      <c r="AZ49" s="943"/>
      <c r="BA49" s="943"/>
      <c r="BB49" s="943"/>
      <c r="BC49" s="943"/>
      <c r="BD49" s="943"/>
      <c r="BE49" s="943"/>
    </row>
    <row r="50" spans="1:57" ht="13.5" customHeight="1">
      <c r="A50" s="631"/>
      <c r="B50" s="979"/>
      <c r="C50" s="979"/>
      <c r="D50" s="979"/>
      <c r="E50" s="979"/>
      <c r="F50" s="979"/>
      <c r="G50" s="979"/>
      <c r="H50" s="979"/>
      <c r="I50" s="979"/>
      <c r="J50" s="979"/>
      <c r="K50" s="979"/>
      <c r="L50" s="979"/>
      <c r="M50" s="979"/>
      <c r="N50" s="979"/>
      <c r="O50" s="979"/>
      <c r="P50" s="979"/>
      <c r="Q50" s="979"/>
      <c r="R50" s="979"/>
      <c r="S50" s="979"/>
      <c r="T50" s="979"/>
      <c r="U50" s="979"/>
      <c r="V50" s="979"/>
      <c r="W50" s="979"/>
      <c r="X50" s="979"/>
      <c r="Y50" s="979"/>
      <c r="Z50" s="979"/>
      <c r="AA50" s="979"/>
      <c r="AB50" s="979"/>
      <c r="AC50" s="979"/>
      <c r="AD50" s="979"/>
      <c r="AE50" s="979"/>
      <c r="AF50" s="979"/>
      <c r="AG50" s="979"/>
      <c r="AH50" s="979"/>
      <c r="AI50" s="979"/>
      <c r="AJ50" s="979"/>
      <c r="AK50" s="979"/>
      <c r="AL50" s="979"/>
      <c r="AM50" s="979"/>
      <c r="AN50" s="979"/>
      <c r="AO50" s="979"/>
      <c r="AP50" s="979"/>
      <c r="AQ50" s="979"/>
      <c r="AR50" s="979"/>
      <c r="AS50" s="979"/>
      <c r="AT50" s="979"/>
      <c r="AU50" s="979"/>
      <c r="AV50" s="979"/>
      <c r="AW50" s="979"/>
      <c r="AX50" s="979"/>
      <c r="AY50" s="979"/>
      <c r="AZ50" s="979"/>
      <c r="BA50" s="979"/>
      <c r="BB50" s="979"/>
      <c r="BC50" s="979"/>
      <c r="BD50" s="979"/>
      <c r="BE50" s="979"/>
    </row>
    <row r="51" spans="1:57" ht="150.75" customHeight="1">
      <c r="A51" s="631"/>
    </row>
    <row r="52" spans="1:57" ht="41.25" customHeight="1">
      <c r="A52" s="631"/>
    </row>
    <row r="53" spans="1:57" ht="27.75" customHeight="1">
      <c r="A53" s="631"/>
    </row>
    <row r="54" spans="1:57" ht="3.9" customHeight="1">
      <c r="A54" s="631"/>
      <c r="B54" s="631"/>
      <c r="C54" s="631"/>
      <c r="D54" s="631"/>
      <c r="E54" s="631"/>
      <c r="F54" s="631"/>
      <c r="G54" s="631"/>
      <c r="H54" s="631"/>
      <c r="I54" s="631"/>
      <c r="J54" s="631"/>
      <c r="K54" s="631"/>
      <c r="L54" s="631"/>
      <c r="M54" s="631"/>
      <c r="N54" s="631"/>
      <c r="O54" s="631"/>
      <c r="P54" s="631"/>
      <c r="Q54" s="631"/>
      <c r="R54" s="631"/>
      <c r="S54" s="631"/>
      <c r="T54" s="631"/>
      <c r="U54" s="631"/>
      <c r="V54" s="631"/>
      <c r="W54" s="631"/>
      <c r="X54" s="631"/>
      <c r="Y54" s="631"/>
      <c r="Z54" s="631"/>
      <c r="AA54" s="631"/>
      <c r="AB54" s="631"/>
      <c r="AC54" s="631"/>
      <c r="AD54" s="631"/>
      <c r="AE54" s="631"/>
      <c r="AF54" s="631"/>
      <c r="AG54" s="631"/>
      <c r="AH54" s="631"/>
      <c r="AI54" s="631"/>
      <c r="AJ54" s="631"/>
      <c r="AK54" s="631"/>
      <c r="AL54" s="631"/>
      <c r="AM54" s="631"/>
      <c r="AN54" s="631"/>
      <c r="AO54" s="631"/>
      <c r="AP54" s="631"/>
      <c r="AQ54" s="631"/>
      <c r="AR54" s="631"/>
      <c r="AS54" s="631"/>
      <c r="AT54" s="631"/>
      <c r="AU54" s="631"/>
      <c r="AV54" s="631"/>
      <c r="AW54" s="631"/>
      <c r="AX54" s="631"/>
      <c r="AY54" s="631"/>
      <c r="AZ54" s="631"/>
      <c r="BA54" s="631"/>
      <c r="BB54" s="631"/>
      <c r="BC54" s="631"/>
      <c r="BD54" s="631"/>
      <c r="BE54" s="631"/>
    </row>
    <row r="55" spans="1:57">
      <c r="A55" s="631"/>
    </row>
    <row r="56" spans="1:57" ht="54.75" customHeight="1">
      <c r="A56" s="631"/>
    </row>
    <row r="57" spans="1:57" ht="42.75" customHeight="1"/>
    <row r="89" spans="60:60">
      <c r="BH89" s="1022" t="b">
        <v>1</v>
      </c>
    </row>
  </sheetData>
  <sheetProtection algorithmName="SHA-512" hashValue="P8g8T7/Hv+g4tCfuaFONofa0DaSjefvu30Re6DOmPIqgtHwaiTGbQxDLl5Yh1TDBgn80klSOfkPzGOUOqk1Qrg==" saltValue="d+GNXz4nixfXX6p0rJKi7A==" spinCount="100000" sheet="1" objects="1" scenarios="1"/>
  <mergeCells count="49">
    <mergeCell ref="D14:G14"/>
    <mergeCell ref="H14:O14"/>
    <mergeCell ref="P14:AG14"/>
    <mergeCell ref="AH14:BC14"/>
    <mergeCell ref="D15:G15"/>
    <mergeCell ref="H15:O15"/>
    <mergeCell ref="P15:AG15"/>
    <mergeCell ref="AH15:BC15"/>
    <mergeCell ref="B6:C6"/>
    <mergeCell ref="B9:C9"/>
    <mergeCell ref="D13:G13"/>
    <mergeCell ref="H13:O13"/>
    <mergeCell ref="P13:AG13"/>
    <mergeCell ref="D6:BD6"/>
    <mergeCell ref="D9:BD9"/>
    <mergeCell ref="AH13:BC13"/>
    <mergeCell ref="B46:C46"/>
    <mergeCell ref="D46:BD46"/>
    <mergeCell ref="D24:G24"/>
    <mergeCell ref="H24:N24"/>
    <mergeCell ref="O24:AG24"/>
    <mergeCell ref="AH24:BC24"/>
    <mergeCell ref="C26:BD26"/>
    <mergeCell ref="C27:BD27"/>
    <mergeCell ref="C28:BD28"/>
    <mergeCell ref="B45:C45"/>
    <mergeCell ref="D45:BD45"/>
    <mergeCell ref="C40:BD40"/>
    <mergeCell ref="C41:BD41"/>
    <mergeCell ref="C42:BD42"/>
    <mergeCell ref="C39:BD39"/>
    <mergeCell ref="C31:BD31"/>
    <mergeCell ref="C38:BD38"/>
    <mergeCell ref="C33:BD33"/>
    <mergeCell ref="C29:BD29"/>
    <mergeCell ref="C30:BD30"/>
    <mergeCell ref="C32:BD32"/>
    <mergeCell ref="C34:BD34"/>
    <mergeCell ref="C35:BD35"/>
    <mergeCell ref="B17:C17"/>
    <mergeCell ref="D17:BD17"/>
    <mergeCell ref="O22:AG22"/>
    <mergeCell ref="AH22:BC22"/>
    <mergeCell ref="O23:AG23"/>
    <mergeCell ref="D22:G22"/>
    <mergeCell ref="D23:G23"/>
    <mergeCell ref="H22:N22"/>
    <mergeCell ref="H23:N23"/>
    <mergeCell ref="AH23:BC23"/>
  </mergeCells>
  <conditionalFormatting sqref="D23 H23 O23:O24 AH23:AH24">
    <cfRule type="expression" dxfId="38" priority="8">
      <formula>$BK$23&lt;&gt;""</formula>
    </cfRule>
  </conditionalFormatting>
  <conditionalFormatting sqref="AL2">
    <cfRule type="cellIs" dxfId="37" priority="7" operator="equal">
      <formula>"O.K."</formula>
    </cfRule>
  </conditionalFormatting>
  <conditionalFormatting sqref="H15 P15 AH15 D15">
    <cfRule type="expression" dxfId="36" priority="15">
      <formula>$BK$15&lt;&gt;""</formula>
    </cfRule>
  </conditionalFormatting>
  <conditionalFormatting sqref="H14 P14 AH14 D14">
    <cfRule type="expression" dxfId="35" priority="31">
      <formula>$BK$14&lt;&gt;""</formula>
    </cfRule>
  </conditionalFormatting>
  <conditionalFormatting sqref="D13 H13 P13 AH13">
    <cfRule type="expression" dxfId="34" priority="47">
      <formula>$BK$13&lt;&gt;""</formula>
    </cfRule>
  </conditionalFormatting>
  <conditionalFormatting sqref="D22 H22 O22 AH22">
    <cfRule type="expression" dxfId="33" priority="3">
      <formula>$BK$22&lt;&gt;""</formula>
    </cfRule>
  </conditionalFormatting>
  <conditionalFormatting sqref="D24 H24 O24 AH24">
    <cfRule type="expression" dxfId="32" priority="1">
      <formula>$BK$24&lt;&gt;""</formula>
    </cfRule>
  </conditionalFormatting>
  <printOptions horizontalCentered="1"/>
  <pageMargins left="0.11811023622047245" right="0.11811023622047245" top="0.31496062992125984" bottom="0.11811023622047245" header="0" footer="0"/>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Check Box 1">
              <controlPr defaultSize="0" autoFill="0" autoLine="0" autoPict="0">
                <anchor moveWithCells="1">
                  <from>
                    <xdr:col>16</xdr:col>
                    <xdr:colOff>76200</xdr:colOff>
                    <xdr:row>17</xdr:row>
                    <xdr:rowOff>152400</xdr:rowOff>
                  </from>
                  <to>
                    <xdr:col>19</xdr:col>
                    <xdr:colOff>7620</xdr:colOff>
                    <xdr:row>19</xdr:row>
                    <xdr:rowOff>30480</xdr:rowOff>
                  </to>
                </anchor>
              </controlPr>
            </control>
          </mc:Choice>
        </mc:AlternateContent>
        <mc:AlternateContent xmlns:mc="http://schemas.openxmlformats.org/markup-compatibility/2006">
          <mc:Choice Requires="x14">
            <control shapeId="20482" r:id="rId5" name="Check Box 2">
              <controlPr defaultSize="0" autoFill="0" autoLine="0" autoPict="0">
                <anchor moveWithCells="1">
                  <from>
                    <xdr:col>19</xdr:col>
                    <xdr:colOff>76200</xdr:colOff>
                    <xdr:row>17</xdr:row>
                    <xdr:rowOff>152400</xdr:rowOff>
                  </from>
                  <to>
                    <xdr:col>22</xdr:col>
                    <xdr:colOff>7620</xdr:colOff>
                    <xdr:row>19</xdr:row>
                    <xdr:rowOff>30480</xdr:rowOff>
                  </to>
                </anchor>
              </controlPr>
            </control>
          </mc:Choice>
        </mc:AlternateContent>
        <mc:AlternateContent xmlns:mc="http://schemas.openxmlformats.org/markup-compatibility/2006">
          <mc:Choice Requires="x14">
            <control shapeId="20483" r:id="rId6" name="Check Box 3">
              <controlPr defaultSize="0" autoFill="0" autoLine="0" autoPict="0">
                <anchor moveWithCells="1">
                  <from>
                    <xdr:col>28</xdr:col>
                    <xdr:colOff>76200</xdr:colOff>
                    <xdr:row>17</xdr:row>
                    <xdr:rowOff>152400</xdr:rowOff>
                  </from>
                  <to>
                    <xdr:col>31</xdr:col>
                    <xdr:colOff>7620</xdr:colOff>
                    <xdr:row>19</xdr:row>
                    <xdr:rowOff>30480</xdr:rowOff>
                  </to>
                </anchor>
              </controlPr>
            </control>
          </mc:Choice>
        </mc:AlternateContent>
        <mc:AlternateContent xmlns:mc="http://schemas.openxmlformats.org/markup-compatibility/2006">
          <mc:Choice Requires="x14">
            <control shapeId="20484" r:id="rId7" name="Check Box 4">
              <controlPr defaultSize="0" autoFill="0" autoLine="0" autoPict="0">
                <anchor moveWithCells="1">
                  <from>
                    <xdr:col>31</xdr:col>
                    <xdr:colOff>76200</xdr:colOff>
                    <xdr:row>17</xdr:row>
                    <xdr:rowOff>152400</xdr:rowOff>
                  </from>
                  <to>
                    <xdr:col>34</xdr:col>
                    <xdr:colOff>7620</xdr:colOff>
                    <xdr:row>19</xdr:row>
                    <xdr:rowOff>30480</xdr:rowOff>
                  </to>
                </anchor>
              </controlPr>
            </control>
          </mc:Choice>
        </mc:AlternateContent>
        <mc:AlternateContent xmlns:mc="http://schemas.openxmlformats.org/markup-compatibility/2006">
          <mc:Choice Requires="x14">
            <control shapeId="20485" r:id="rId8" name="Check Box 5">
              <controlPr defaultSize="0" autoFill="0" autoLine="0" autoPict="0">
                <anchor moveWithCells="1">
                  <from>
                    <xdr:col>41</xdr:col>
                    <xdr:colOff>76200</xdr:colOff>
                    <xdr:row>17</xdr:row>
                    <xdr:rowOff>152400</xdr:rowOff>
                  </from>
                  <to>
                    <xdr:col>44</xdr:col>
                    <xdr:colOff>7620</xdr:colOff>
                    <xdr:row>19</xdr:row>
                    <xdr:rowOff>30480</xdr:rowOff>
                  </to>
                </anchor>
              </controlPr>
            </control>
          </mc:Choice>
        </mc:AlternateContent>
        <mc:AlternateContent xmlns:mc="http://schemas.openxmlformats.org/markup-compatibility/2006">
          <mc:Choice Requires="x14">
            <control shapeId="20486" r:id="rId9" name="Check Box 6">
              <controlPr defaultSize="0" autoFill="0" autoLine="0" autoPict="0">
                <anchor moveWithCells="1">
                  <from>
                    <xdr:col>44</xdr:col>
                    <xdr:colOff>76200</xdr:colOff>
                    <xdr:row>17</xdr:row>
                    <xdr:rowOff>152400</xdr:rowOff>
                  </from>
                  <to>
                    <xdr:col>47</xdr:col>
                    <xdr:colOff>7620</xdr:colOff>
                    <xdr:row>19</xdr:row>
                    <xdr:rowOff>30480</xdr:rowOff>
                  </to>
                </anchor>
              </controlPr>
            </control>
          </mc:Choice>
        </mc:AlternateContent>
        <mc:AlternateContent xmlns:mc="http://schemas.openxmlformats.org/markup-compatibility/2006">
          <mc:Choice Requires="x14">
            <control shapeId="20487" r:id="rId10" name="Check Box 7">
              <controlPr defaultSize="0" autoFill="0" autoLine="0" autoPict="0">
                <anchor moveWithCells="1">
                  <from>
                    <xdr:col>16</xdr:col>
                    <xdr:colOff>76200</xdr:colOff>
                    <xdr:row>5</xdr:row>
                    <xdr:rowOff>152400</xdr:rowOff>
                  </from>
                  <to>
                    <xdr:col>19</xdr:col>
                    <xdr:colOff>7620</xdr:colOff>
                    <xdr:row>7</xdr:row>
                    <xdr:rowOff>30480</xdr:rowOff>
                  </to>
                </anchor>
              </controlPr>
            </control>
          </mc:Choice>
        </mc:AlternateContent>
        <mc:AlternateContent xmlns:mc="http://schemas.openxmlformats.org/markup-compatibility/2006">
          <mc:Choice Requires="x14">
            <control shapeId="20488" r:id="rId11" name="Check Box 8">
              <controlPr defaultSize="0" autoFill="0" autoLine="0" autoPict="0">
                <anchor moveWithCells="1">
                  <from>
                    <xdr:col>19</xdr:col>
                    <xdr:colOff>76200</xdr:colOff>
                    <xdr:row>5</xdr:row>
                    <xdr:rowOff>152400</xdr:rowOff>
                  </from>
                  <to>
                    <xdr:col>22</xdr:col>
                    <xdr:colOff>7620</xdr:colOff>
                    <xdr:row>7</xdr:row>
                    <xdr:rowOff>30480</xdr:rowOff>
                  </to>
                </anchor>
              </controlPr>
            </control>
          </mc:Choice>
        </mc:AlternateContent>
        <mc:AlternateContent xmlns:mc="http://schemas.openxmlformats.org/markup-compatibility/2006">
          <mc:Choice Requires="x14">
            <control shapeId="20489" r:id="rId12" name="Check Box 9">
              <controlPr defaultSize="0" autoFill="0" autoLine="0" autoPict="0">
                <anchor moveWithCells="1">
                  <from>
                    <xdr:col>28</xdr:col>
                    <xdr:colOff>76200</xdr:colOff>
                    <xdr:row>5</xdr:row>
                    <xdr:rowOff>152400</xdr:rowOff>
                  </from>
                  <to>
                    <xdr:col>31</xdr:col>
                    <xdr:colOff>7620</xdr:colOff>
                    <xdr:row>7</xdr:row>
                    <xdr:rowOff>30480</xdr:rowOff>
                  </to>
                </anchor>
              </controlPr>
            </control>
          </mc:Choice>
        </mc:AlternateContent>
        <mc:AlternateContent xmlns:mc="http://schemas.openxmlformats.org/markup-compatibility/2006">
          <mc:Choice Requires="x14">
            <control shapeId="20490" r:id="rId13" name="Check Box 10">
              <controlPr defaultSize="0" autoFill="0" autoLine="0" autoPict="0">
                <anchor moveWithCells="1">
                  <from>
                    <xdr:col>31</xdr:col>
                    <xdr:colOff>76200</xdr:colOff>
                    <xdr:row>5</xdr:row>
                    <xdr:rowOff>152400</xdr:rowOff>
                  </from>
                  <to>
                    <xdr:col>34</xdr:col>
                    <xdr:colOff>7620</xdr:colOff>
                    <xdr:row>7</xdr:row>
                    <xdr:rowOff>30480</xdr:rowOff>
                  </to>
                </anchor>
              </controlPr>
            </control>
          </mc:Choice>
        </mc:AlternateContent>
        <mc:AlternateContent xmlns:mc="http://schemas.openxmlformats.org/markup-compatibility/2006">
          <mc:Choice Requires="x14">
            <control shapeId="20491" r:id="rId14" name="Check Box 11">
              <controlPr defaultSize="0" autoFill="0" autoLine="0" autoPict="0">
                <anchor moveWithCells="1">
                  <from>
                    <xdr:col>41</xdr:col>
                    <xdr:colOff>76200</xdr:colOff>
                    <xdr:row>5</xdr:row>
                    <xdr:rowOff>152400</xdr:rowOff>
                  </from>
                  <to>
                    <xdr:col>44</xdr:col>
                    <xdr:colOff>7620</xdr:colOff>
                    <xdr:row>7</xdr:row>
                    <xdr:rowOff>30480</xdr:rowOff>
                  </to>
                </anchor>
              </controlPr>
            </control>
          </mc:Choice>
        </mc:AlternateContent>
        <mc:AlternateContent xmlns:mc="http://schemas.openxmlformats.org/markup-compatibility/2006">
          <mc:Choice Requires="x14">
            <control shapeId="20492" r:id="rId15" name="Check Box 12">
              <controlPr defaultSize="0" autoFill="0" autoLine="0" autoPict="0">
                <anchor moveWithCells="1">
                  <from>
                    <xdr:col>44</xdr:col>
                    <xdr:colOff>76200</xdr:colOff>
                    <xdr:row>5</xdr:row>
                    <xdr:rowOff>152400</xdr:rowOff>
                  </from>
                  <to>
                    <xdr:col>47</xdr:col>
                    <xdr:colOff>7620</xdr:colOff>
                    <xdr:row>7</xdr:row>
                    <xdr:rowOff>30480</xdr:rowOff>
                  </to>
                </anchor>
              </controlPr>
            </control>
          </mc:Choice>
        </mc:AlternateContent>
        <mc:AlternateContent xmlns:mc="http://schemas.openxmlformats.org/markup-compatibility/2006">
          <mc:Choice Requires="x14">
            <control shapeId="20493" r:id="rId16" name="Check Box 13">
              <controlPr defaultSize="0" autoFill="0" autoLine="0" autoPict="0">
                <anchor moveWithCells="1">
                  <from>
                    <xdr:col>16</xdr:col>
                    <xdr:colOff>76200</xdr:colOff>
                    <xdr:row>8</xdr:row>
                    <xdr:rowOff>152400</xdr:rowOff>
                  </from>
                  <to>
                    <xdr:col>19</xdr:col>
                    <xdr:colOff>7620</xdr:colOff>
                    <xdr:row>10</xdr:row>
                    <xdr:rowOff>30480</xdr:rowOff>
                  </to>
                </anchor>
              </controlPr>
            </control>
          </mc:Choice>
        </mc:AlternateContent>
        <mc:AlternateContent xmlns:mc="http://schemas.openxmlformats.org/markup-compatibility/2006">
          <mc:Choice Requires="x14">
            <control shapeId="20494" r:id="rId17" name="Check Box 14">
              <controlPr defaultSize="0" autoFill="0" autoLine="0" autoPict="0">
                <anchor moveWithCells="1">
                  <from>
                    <xdr:col>19</xdr:col>
                    <xdr:colOff>76200</xdr:colOff>
                    <xdr:row>8</xdr:row>
                    <xdr:rowOff>152400</xdr:rowOff>
                  </from>
                  <to>
                    <xdr:col>22</xdr:col>
                    <xdr:colOff>7620</xdr:colOff>
                    <xdr:row>10</xdr:row>
                    <xdr:rowOff>30480</xdr:rowOff>
                  </to>
                </anchor>
              </controlPr>
            </control>
          </mc:Choice>
        </mc:AlternateContent>
        <mc:AlternateContent xmlns:mc="http://schemas.openxmlformats.org/markup-compatibility/2006">
          <mc:Choice Requires="x14">
            <control shapeId="20495" r:id="rId18" name="Check Box 15">
              <controlPr defaultSize="0" autoFill="0" autoLine="0" autoPict="0">
                <anchor moveWithCells="1">
                  <from>
                    <xdr:col>28</xdr:col>
                    <xdr:colOff>76200</xdr:colOff>
                    <xdr:row>8</xdr:row>
                    <xdr:rowOff>152400</xdr:rowOff>
                  </from>
                  <to>
                    <xdr:col>31</xdr:col>
                    <xdr:colOff>7620</xdr:colOff>
                    <xdr:row>10</xdr:row>
                    <xdr:rowOff>30480</xdr:rowOff>
                  </to>
                </anchor>
              </controlPr>
            </control>
          </mc:Choice>
        </mc:AlternateContent>
        <mc:AlternateContent xmlns:mc="http://schemas.openxmlformats.org/markup-compatibility/2006">
          <mc:Choice Requires="x14">
            <control shapeId="20496" r:id="rId19" name="Check Box 16">
              <controlPr defaultSize="0" autoFill="0" autoLine="0" autoPict="0">
                <anchor moveWithCells="1">
                  <from>
                    <xdr:col>31</xdr:col>
                    <xdr:colOff>76200</xdr:colOff>
                    <xdr:row>8</xdr:row>
                    <xdr:rowOff>152400</xdr:rowOff>
                  </from>
                  <to>
                    <xdr:col>34</xdr:col>
                    <xdr:colOff>7620</xdr:colOff>
                    <xdr:row>10</xdr:row>
                    <xdr:rowOff>30480</xdr:rowOff>
                  </to>
                </anchor>
              </controlPr>
            </control>
          </mc:Choice>
        </mc:AlternateContent>
        <mc:AlternateContent xmlns:mc="http://schemas.openxmlformats.org/markup-compatibility/2006">
          <mc:Choice Requires="x14">
            <control shapeId="20497" r:id="rId20" name="Check Box 17">
              <controlPr defaultSize="0" autoFill="0" autoLine="0" autoPict="0">
                <anchor moveWithCells="1">
                  <from>
                    <xdr:col>41</xdr:col>
                    <xdr:colOff>76200</xdr:colOff>
                    <xdr:row>8</xdr:row>
                    <xdr:rowOff>152400</xdr:rowOff>
                  </from>
                  <to>
                    <xdr:col>44</xdr:col>
                    <xdr:colOff>7620</xdr:colOff>
                    <xdr:row>10</xdr:row>
                    <xdr:rowOff>30480</xdr:rowOff>
                  </to>
                </anchor>
              </controlPr>
            </control>
          </mc:Choice>
        </mc:AlternateContent>
        <mc:AlternateContent xmlns:mc="http://schemas.openxmlformats.org/markup-compatibility/2006">
          <mc:Choice Requires="x14">
            <control shapeId="20498" r:id="rId21" name="Check Box 18">
              <controlPr defaultSize="0" autoFill="0" autoLine="0" autoPict="0">
                <anchor moveWithCells="1">
                  <from>
                    <xdr:col>44</xdr:col>
                    <xdr:colOff>76200</xdr:colOff>
                    <xdr:row>8</xdr:row>
                    <xdr:rowOff>152400</xdr:rowOff>
                  </from>
                  <to>
                    <xdr:col>47</xdr:col>
                    <xdr:colOff>7620</xdr:colOff>
                    <xdr:row>10</xdr:row>
                    <xdr:rowOff>30480</xdr:rowOff>
                  </to>
                </anchor>
              </controlPr>
            </control>
          </mc:Choice>
        </mc:AlternateContent>
        <mc:AlternateContent xmlns:mc="http://schemas.openxmlformats.org/markup-compatibility/2006">
          <mc:Choice Requires="x14">
            <control shapeId="20499" r:id="rId22" name="Button 19">
              <controlPr defaultSize="0" print="0" autoFill="0" autoPict="0" macro="[0]!Vymaz_1">
                <anchor moveWithCells="1">
                  <from>
                    <xdr:col>13</xdr:col>
                    <xdr:colOff>22860</xdr:colOff>
                    <xdr:row>0</xdr:row>
                    <xdr:rowOff>76200</xdr:rowOff>
                  </from>
                  <to>
                    <xdr:col>25</xdr:col>
                    <xdr:colOff>99060</xdr:colOff>
                    <xdr:row>2</xdr:row>
                    <xdr:rowOff>106680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árok6"/>
  <dimension ref="A2:BJ49"/>
  <sheetViews>
    <sheetView zoomScale="110" zoomScaleNormal="110" workbookViewId="0">
      <pane ySplit="3" topLeftCell="A4" activePane="bottomLeft" state="frozen"/>
      <selection activeCell="D17" sqref="D17:BC18"/>
      <selection pane="bottomLeft" activeCell="D6" sqref="D6:BC6"/>
    </sheetView>
  </sheetViews>
  <sheetFormatPr defaultColWidth="9.109375" defaultRowHeight="13.2"/>
  <cols>
    <col min="1" max="1" width="3.6640625" style="631" customWidth="1"/>
    <col min="2" max="2" width="0.6640625" style="631" customWidth="1"/>
    <col min="3" max="3" width="3" style="631" customWidth="1"/>
    <col min="4" max="4" width="2.33203125" style="631" customWidth="1"/>
    <col min="5" max="55" width="1.88671875" style="631" customWidth="1"/>
    <col min="56" max="56" width="0.88671875" style="631" customWidth="1"/>
    <col min="57" max="71" width="7.6640625" style="631" customWidth="1"/>
    <col min="72" max="16384" width="9.109375" style="631"/>
  </cols>
  <sheetData>
    <row r="2" spans="1:62">
      <c r="G2" s="644" t="str">
        <f>IF(SUM(COUNTBLANK(BH13:BH15),COUNTBLANK(BH24:BH27))&lt;7,"CHYBA!","O.K.")</f>
        <v>CHYBA!</v>
      </c>
    </row>
    <row r="4" spans="1:62" ht="2.25" customHeight="1" thickBot="1"/>
    <row r="5" spans="1:62" ht="12.75" customHeight="1">
      <c r="B5" s="937"/>
      <c r="C5" s="938" t="s">
        <v>847</v>
      </c>
      <c r="D5" s="939"/>
      <c r="E5" s="936"/>
      <c r="F5" s="936"/>
      <c r="G5" s="936"/>
      <c r="H5" s="936"/>
      <c r="I5" s="936"/>
      <c r="J5" s="936"/>
      <c r="K5" s="936"/>
      <c r="L5" s="936"/>
      <c r="M5" s="936"/>
      <c r="N5" s="936"/>
      <c r="O5" s="936"/>
      <c r="P5" s="936"/>
      <c r="Q5" s="936"/>
      <c r="R5" s="936"/>
      <c r="S5" s="936"/>
      <c r="T5" s="936"/>
      <c r="U5" s="936"/>
      <c r="V5" s="936"/>
      <c r="W5" s="936"/>
      <c r="X5" s="936"/>
      <c r="Y5" s="936"/>
      <c r="Z5" s="936"/>
      <c r="AA5" s="936"/>
      <c r="AB5" s="936"/>
      <c r="AC5" s="936"/>
      <c r="AD5" s="936"/>
      <c r="AE5" s="936"/>
      <c r="AF5" s="936"/>
      <c r="AG5" s="936"/>
      <c r="AH5" s="936"/>
      <c r="AI5" s="936"/>
      <c r="AJ5" s="936"/>
      <c r="AK5" s="936"/>
      <c r="AL5" s="936"/>
      <c r="AM5" s="936"/>
      <c r="AN5" s="936"/>
      <c r="AO5" s="936"/>
      <c r="AP5" s="936"/>
      <c r="AQ5" s="936"/>
      <c r="AR5" s="936"/>
      <c r="AS5" s="936"/>
      <c r="AT5" s="936"/>
      <c r="AU5" s="936"/>
      <c r="AV5" s="936"/>
      <c r="AW5" s="936"/>
      <c r="AX5" s="936"/>
      <c r="AY5" s="936"/>
      <c r="AZ5" s="936"/>
      <c r="BA5" s="936"/>
      <c r="BB5" s="936"/>
      <c r="BC5" s="936"/>
      <c r="BD5" s="702"/>
    </row>
    <row r="6" spans="1:62" ht="150" customHeight="1">
      <c r="B6" s="1496" t="s">
        <v>792</v>
      </c>
      <c r="C6" s="1497"/>
      <c r="D6" s="1489" t="s">
        <v>848</v>
      </c>
      <c r="E6" s="1489"/>
      <c r="F6" s="1489"/>
      <c r="G6" s="1489"/>
      <c r="H6" s="1489"/>
      <c r="I6" s="1489"/>
      <c r="J6" s="1489"/>
      <c r="K6" s="1489"/>
      <c r="L6" s="1489"/>
      <c r="M6" s="1489"/>
      <c r="N6" s="1489"/>
      <c r="O6" s="1489"/>
      <c r="P6" s="1489"/>
      <c r="Q6" s="1489"/>
      <c r="R6" s="1489"/>
      <c r="S6" s="1489"/>
      <c r="T6" s="1489"/>
      <c r="U6" s="1489"/>
      <c r="V6" s="1489"/>
      <c r="W6" s="1489"/>
      <c r="X6" s="1489"/>
      <c r="Y6" s="1489"/>
      <c r="Z6" s="1489"/>
      <c r="AA6" s="1489"/>
      <c r="AB6" s="1489"/>
      <c r="AC6" s="1489"/>
      <c r="AD6" s="1489"/>
      <c r="AE6" s="1489"/>
      <c r="AF6" s="1489"/>
      <c r="AG6" s="1489"/>
      <c r="AH6" s="1489"/>
      <c r="AI6" s="1489"/>
      <c r="AJ6" s="1489"/>
      <c r="AK6" s="1489"/>
      <c r="AL6" s="1489"/>
      <c r="AM6" s="1489"/>
      <c r="AN6" s="1489"/>
      <c r="AO6" s="1489"/>
      <c r="AP6" s="1489"/>
      <c r="AQ6" s="1489"/>
      <c r="AR6" s="1489"/>
      <c r="AS6" s="1489"/>
      <c r="AT6" s="1489"/>
      <c r="AU6" s="1489"/>
      <c r="AV6" s="1489"/>
      <c r="AW6" s="1489"/>
      <c r="AX6" s="1489"/>
      <c r="AY6" s="1489"/>
      <c r="AZ6" s="1489"/>
      <c r="BA6" s="1489"/>
      <c r="BB6" s="1489"/>
      <c r="BC6" s="1489"/>
      <c r="BD6" s="703"/>
    </row>
    <row r="7" spans="1:62" ht="41.25" customHeight="1">
      <c r="B7" s="1496" t="s">
        <v>802</v>
      </c>
      <c r="C7" s="1497"/>
      <c r="D7" s="1489" t="s">
        <v>849</v>
      </c>
      <c r="E7" s="1489"/>
      <c r="F7" s="1489"/>
      <c r="G7" s="1489"/>
      <c r="H7" s="1489"/>
      <c r="I7" s="1489"/>
      <c r="J7" s="1489"/>
      <c r="K7" s="1489"/>
      <c r="L7" s="1489"/>
      <c r="M7" s="1489"/>
      <c r="N7" s="1489"/>
      <c r="O7" s="1489"/>
      <c r="P7" s="1489"/>
      <c r="Q7" s="1489"/>
      <c r="R7" s="1489"/>
      <c r="S7" s="1489"/>
      <c r="T7" s="1489"/>
      <c r="U7" s="1489"/>
      <c r="V7" s="1489"/>
      <c r="W7" s="1489"/>
      <c r="X7" s="1489"/>
      <c r="Y7" s="1489"/>
      <c r="Z7" s="1489"/>
      <c r="AA7" s="1489"/>
      <c r="AB7" s="1489"/>
      <c r="AC7" s="1489"/>
      <c r="AD7" s="1489"/>
      <c r="AE7" s="1489"/>
      <c r="AF7" s="1489"/>
      <c r="AG7" s="1489"/>
      <c r="AH7" s="1489"/>
      <c r="AI7" s="1489"/>
      <c r="AJ7" s="1489"/>
      <c r="AK7" s="1489"/>
      <c r="AL7" s="1489"/>
      <c r="AM7" s="1489"/>
      <c r="AN7" s="1489"/>
      <c r="AO7" s="1489"/>
      <c r="AP7" s="1489"/>
      <c r="AQ7" s="1489"/>
      <c r="AR7" s="1489"/>
      <c r="AS7" s="1489"/>
      <c r="AT7" s="1489"/>
      <c r="AU7" s="1489"/>
      <c r="AV7" s="1489"/>
      <c r="AW7" s="1489"/>
      <c r="AX7" s="1489"/>
      <c r="AY7" s="1489"/>
      <c r="AZ7" s="1489"/>
      <c r="BA7" s="1489"/>
      <c r="BB7" s="1489"/>
      <c r="BC7" s="1489"/>
      <c r="BD7" s="703"/>
    </row>
    <row r="8" spans="1:62" ht="30.75" customHeight="1" thickBot="1">
      <c r="B8" s="1498" t="s">
        <v>805</v>
      </c>
      <c r="C8" s="1499"/>
      <c r="D8" s="1500" t="s">
        <v>850</v>
      </c>
      <c r="E8" s="1500"/>
      <c r="F8" s="1500"/>
      <c r="G8" s="1500"/>
      <c r="H8" s="1500"/>
      <c r="I8" s="1500"/>
      <c r="J8" s="1500"/>
      <c r="K8" s="1500"/>
      <c r="L8" s="1500"/>
      <c r="M8" s="1500"/>
      <c r="N8" s="1500"/>
      <c r="O8" s="1500"/>
      <c r="P8" s="1500"/>
      <c r="Q8" s="1500"/>
      <c r="R8" s="1500"/>
      <c r="S8" s="1500"/>
      <c r="T8" s="1500"/>
      <c r="U8" s="1500"/>
      <c r="V8" s="1500"/>
      <c r="W8" s="1500"/>
      <c r="X8" s="1500"/>
      <c r="Y8" s="1500"/>
      <c r="Z8" s="1500"/>
      <c r="AA8" s="1500"/>
      <c r="AB8" s="1500"/>
      <c r="AC8" s="1500"/>
      <c r="AD8" s="1500"/>
      <c r="AE8" s="1500"/>
      <c r="AF8" s="1500"/>
      <c r="AG8" s="1500"/>
      <c r="AH8" s="1500"/>
      <c r="AI8" s="1500"/>
      <c r="AJ8" s="1500"/>
      <c r="AK8" s="1500"/>
      <c r="AL8" s="1500"/>
      <c r="AM8" s="1500"/>
      <c r="AN8" s="1500"/>
      <c r="AO8" s="1500"/>
      <c r="AP8" s="1500"/>
      <c r="AQ8" s="1500"/>
      <c r="AR8" s="1500"/>
      <c r="AS8" s="1500"/>
      <c r="AT8" s="1500"/>
      <c r="AU8" s="1500"/>
      <c r="AV8" s="1500"/>
      <c r="AW8" s="1500"/>
      <c r="AX8" s="1500"/>
      <c r="AY8" s="1500"/>
      <c r="AZ8" s="1500"/>
      <c r="BA8" s="1500"/>
      <c r="BB8" s="1500"/>
      <c r="BC8" s="1500"/>
      <c r="BD8" s="704"/>
    </row>
    <row r="9" spans="1:62" ht="2.25" customHeight="1" thickBot="1"/>
    <row r="10" spans="1:62" ht="14.25" customHeight="1">
      <c r="A10" s="1266"/>
      <c r="B10" s="1262"/>
      <c r="C10" s="1262" t="s">
        <v>854</v>
      </c>
      <c r="D10" s="1262"/>
      <c r="E10" s="1262"/>
      <c r="F10" s="1262"/>
      <c r="G10" s="1262"/>
      <c r="H10" s="1262"/>
      <c r="I10" s="1262"/>
      <c r="J10" s="1262"/>
      <c r="K10" s="1262"/>
      <c r="L10" s="1262"/>
      <c r="M10" s="1262"/>
      <c r="N10" s="1262"/>
      <c r="O10" s="1262"/>
      <c r="P10" s="1262"/>
      <c r="Q10" s="1262"/>
      <c r="R10" s="1262"/>
      <c r="S10" s="1262"/>
      <c r="T10" s="1262"/>
      <c r="U10" s="1262"/>
      <c r="V10" s="1262"/>
      <c r="W10" s="1262"/>
      <c r="X10" s="1262"/>
      <c r="Y10" s="1262"/>
      <c r="Z10" s="1262"/>
      <c r="AA10" s="1262"/>
      <c r="AB10" s="1262"/>
      <c r="AC10" s="1262"/>
      <c r="AD10" s="1262"/>
      <c r="AE10" s="1262"/>
      <c r="AF10" s="1262"/>
      <c r="AG10" s="1262"/>
      <c r="AH10" s="1262"/>
      <c r="AI10" s="1262"/>
      <c r="AJ10" s="1262"/>
      <c r="AK10" s="1262"/>
      <c r="AL10" s="1262"/>
      <c r="AM10" s="1262"/>
      <c r="AN10" s="1262"/>
      <c r="AO10" s="1262"/>
      <c r="AP10" s="1262"/>
      <c r="AQ10" s="1262"/>
      <c r="AR10" s="1262"/>
      <c r="AS10" s="1262"/>
      <c r="AT10" s="1262"/>
      <c r="AU10" s="1262"/>
      <c r="AV10" s="1262"/>
      <c r="AW10" s="1262"/>
      <c r="AX10" s="1262"/>
      <c r="AY10" s="1262"/>
      <c r="AZ10" s="1262"/>
      <c r="BA10" s="1262"/>
      <c r="BB10" s="1262"/>
      <c r="BC10" s="1262"/>
      <c r="BD10" s="1263"/>
    </row>
    <row r="11" spans="1:62" ht="70.5" customHeight="1">
      <c r="A11" s="1266"/>
      <c r="B11" s="1265"/>
      <c r="C11" s="1484" t="s">
        <v>929</v>
      </c>
      <c r="D11" s="1484"/>
      <c r="E11" s="1484"/>
      <c r="F11" s="1484"/>
      <c r="G11" s="1484"/>
      <c r="H11" s="1484"/>
      <c r="I11" s="1484"/>
      <c r="J11" s="1484"/>
      <c r="K11" s="1484"/>
      <c r="L11" s="1484"/>
      <c r="M11" s="1484"/>
      <c r="N11" s="1484"/>
      <c r="O11" s="1484"/>
      <c r="P11" s="1484"/>
      <c r="Q11" s="1484"/>
      <c r="R11" s="1484"/>
      <c r="S11" s="1484"/>
      <c r="T11" s="1484"/>
      <c r="U11" s="1484"/>
      <c r="V11" s="1484"/>
      <c r="W11" s="1484"/>
      <c r="X11" s="1484"/>
      <c r="Y11" s="1484"/>
      <c r="Z11" s="1484"/>
      <c r="AA11" s="1484"/>
      <c r="AB11" s="1484"/>
      <c r="AC11" s="1484"/>
      <c r="AD11" s="1484"/>
      <c r="AE11" s="1484"/>
      <c r="AF11" s="1484"/>
      <c r="AG11" s="1484"/>
      <c r="AH11" s="1484"/>
      <c r="AI11" s="1484"/>
      <c r="AJ11" s="1484"/>
      <c r="AK11" s="1484"/>
      <c r="AL11" s="1484"/>
      <c r="AM11" s="1484"/>
      <c r="AN11" s="1484"/>
      <c r="AO11" s="1484"/>
      <c r="AP11" s="1484"/>
      <c r="AQ11" s="1484"/>
      <c r="AR11" s="1484"/>
      <c r="AS11" s="1484"/>
      <c r="AT11" s="1484"/>
      <c r="AU11" s="1484"/>
      <c r="AV11" s="1484"/>
      <c r="AW11" s="1484"/>
      <c r="AX11" s="1484"/>
      <c r="AY11" s="1484"/>
      <c r="AZ11" s="1484"/>
      <c r="BA11" s="1484"/>
      <c r="BB11" s="1484"/>
      <c r="BC11" s="1484"/>
      <c r="BD11" s="1264"/>
    </row>
    <row r="12" spans="1:62" ht="102" customHeight="1" thickBot="1">
      <c r="B12" s="1269"/>
      <c r="C12" s="1485" t="s">
        <v>937</v>
      </c>
      <c r="D12" s="1485"/>
      <c r="E12" s="1485"/>
      <c r="F12" s="1485"/>
      <c r="G12" s="1485"/>
      <c r="H12" s="1485"/>
      <c r="I12" s="1485"/>
      <c r="J12" s="1485"/>
      <c r="K12" s="1485"/>
      <c r="L12" s="1485"/>
      <c r="M12" s="1485"/>
      <c r="N12" s="1485"/>
      <c r="O12" s="1485"/>
      <c r="P12" s="1485"/>
      <c r="Q12" s="1485"/>
      <c r="R12" s="1485"/>
      <c r="S12" s="1485"/>
      <c r="T12" s="1485"/>
      <c r="U12" s="1485"/>
      <c r="V12" s="1485"/>
      <c r="W12" s="1485"/>
      <c r="X12" s="1485"/>
      <c r="Y12" s="1485"/>
      <c r="Z12" s="1485"/>
      <c r="AA12" s="1485"/>
      <c r="AB12" s="1485"/>
      <c r="AC12" s="1485"/>
      <c r="AD12" s="1485"/>
      <c r="AE12" s="1485"/>
      <c r="AF12" s="1485"/>
      <c r="AG12" s="1485"/>
      <c r="AH12" s="1485"/>
      <c r="AI12" s="1485"/>
      <c r="AJ12" s="1485"/>
      <c r="AK12" s="1485"/>
      <c r="AL12" s="1485"/>
      <c r="AM12" s="1485"/>
      <c r="AN12" s="1485"/>
      <c r="AO12" s="1485"/>
      <c r="AP12" s="1485"/>
      <c r="AQ12" s="1485"/>
      <c r="AR12" s="1485"/>
      <c r="AS12" s="1485"/>
      <c r="AT12" s="1485"/>
      <c r="AU12" s="1485"/>
      <c r="AV12" s="1485"/>
      <c r="AW12" s="1485"/>
      <c r="AX12" s="1485"/>
      <c r="AY12" s="1485"/>
      <c r="AZ12" s="1485"/>
      <c r="BA12" s="1485"/>
      <c r="BB12" s="1485"/>
      <c r="BC12" s="1485"/>
      <c r="BD12" s="1270"/>
    </row>
    <row r="13" spans="1:62" s="944" customFormat="1" ht="36" customHeight="1">
      <c r="A13" s="928"/>
      <c r="B13" s="1271"/>
      <c r="C13" s="1272"/>
      <c r="D13" s="1272"/>
      <c r="E13" s="1272"/>
      <c r="F13" s="1490"/>
      <c r="G13" s="1490"/>
      <c r="H13" s="1490"/>
      <c r="I13" s="1490"/>
      <c r="J13" s="1490"/>
      <c r="K13" s="1490"/>
      <c r="L13" s="1490"/>
      <c r="M13" s="1490"/>
      <c r="N13" s="1490"/>
      <c r="O13" s="1490"/>
      <c r="P13" s="1490"/>
      <c r="Q13" s="1490"/>
      <c r="R13" s="1490"/>
      <c r="S13" s="1490"/>
      <c r="T13" s="1490"/>
      <c r="U13" s="1272"/>
      <c r="V13" s="1273"/>
      <c r="W13" s="1273"/>
      <c r="X13" s="1273"/>
      <c r="Y13" s="1273"/>
      <c r="Z13" s="1273"/>
      <c r="AA13" s="1273"/>
      <c r="AB13" s="1273"/>
      <c r="AC13" s="1273"/>
      <c r="AD13" s="1273"/>
      <c r="AE13" s="1273"/>
      <c r="AF13" s="1273"/>
      <c r="AG13" s="1273"/>
      <c r="AH13" s="1273"/>
      <c r="AI13" s="1273"/>
      <c r="AJ13" s="1273"/>
      <c r="AK13" s="1272"/>
      <c r="AL13" s="1272"/>
      <c r="AM13" s="1273"/>
      <c r="AN13" s="1273"/>
      <c r="AO13" s="1273"/>
      <c r="AP13" s="1273"/>
      <c r="AQ13" s="1273"/>
      <c r="AR13" s="1273"/>
      <c r="AS13" s="1273"/>
      <c r="AT13" s="1273"/>
      <c r="AU13" s="1273"/>
      <c r="AV13" s="1273"/>
      <c r="AW13" s="1273"/>
      <c r="AX13" s="1273"/>
      <c r="AY13" s="1273"/>
      <c r="AZ13" s="1273"/>
      <c r="BA13" s="1272"/>
      <c r="BB13" s="1272"/>
      <c r="BC13" s="1272"/>
      <c r="BD13" s="1274"/>
      <c r="BF13" s="1021"/>
      <c r="BG13" s="1021"/>
      <c r="BH13" s="1501" t="str">
        <f>IF(F13="","Údaj je potrebné vyplniť!","")</f>
        <v>Údaj je potrebné vyplniť!</v>
      </c>
      <c r="BI13" s="1501"/>
      <c r="BJ13" s="1203"/>
    </row>
    <row r="14" spans="1:62" s="944" customFormat="1" ht="29.25" customHeight="1">
      <c r="A14" s="928"/>
      <c r="B14" s="1267"/>
      <c r="C14" s="952"/>
      <c r="D14" s="952"/>
      <c r="E14" s="1502" t="s">
        <v>930</v>
      </c>
      <c r="F14" s="1502"/>
      <c r="G14" s="1502"/>
      <c r="H14" s="1502"/>
      <c r="I14" s="1502"/>
      <c r="J14" s="1502"/>
      <c r="K14" s="1502"/>
      <c r="L14" s="1502"/>
      <c r="M14" s="1502"/>
      <c r="N14" s="1502"/>
      <c r="O14" s="1502"/>
      <c r="P14" s="1502"/>
      <c r="Q14" s="1502"/>
      <c r="R14" s="1502"/>
      <c r="S14" s="1502"/>
      <c r="T14" s="1502"/>
      <c r="U14" s="1502"/>
      <c r="V14" s="1493" t="s">
        <v>855</v>
      </c>
      <c r="W14" s="1493"/>
      <c r="X14" s="1493"/>
      <c r="Y14" s="1493"/>
      <c r="Z14" s="1493"/>
      <c r="AA14" s="1493"/>
      <c r="AB14" s="1493"/>
      <c r="AC14" s="1493"/>
      <c r="AD14" s="1493"/>
      <c r="AE14" s="1493"/>
      <c r="AF14" s="1493"/>
      <c r="AG14" s="1493"/>
      <c r="AH14" s="1493"/>
      <c r="AI14" s="1493"/>
      <c r="AJ14" s="1493"/>
      <c r="AK14" s="952"/>
      <c r="AL14" s="1503" t="s">
        <v>923</v>
      </c>
      <c r="AM14" s="1503"/>
      <c r="AN14" s="1503"/>
      <c r="AO14" s="1503"/>
      <c r="AP14" s="1503"/>
      <c r="AQ14" s="1503"/>
      <c r="AR14" s="1503"/>
      <c r="AS14" s="1503"/>
      <c r="AT14" s="1503"/>
      <c r="AU14" s="1503"/>
      <c r="AV14" s="1503"/>
      <c r="AW14" s="1503"/>
      <c r="AX14" s="1503"/>
      <c r="AY14" s="1503"/>
      <c r="AZ14" s="1503"/>
      <c r="BA14" s="1503"/>
      <c r="BB14" s="952"/>
      <c r="BC14" s="952"/>
      <c r="BD14" s="1268"/>
      <c r="BF14" s="1021"/>
      <c r="BG14" s="1021"/>
      <c r="BH14" s="1206"/>
      <c r="BI14" s="1207"/>
      <c r="BJ14" s="1207"/>
    </row>
    <row r="15" spans="1:62" s="944" customFormat="1" ht="25.5" customHeight="1">
      <c r="B15" s="773"/>
      <c r="C15" s="775"/>
      <c r="D15" s="775"/>
      <c r="E15" s="775"/>
      <c r="F15" s="775"/>
      <c r="G15" s="775"/>
      <c r="H15" s="775"/>
      <c r="I15" s="1504"/>
      <c r="J15" s="1504"/>
      <c r="K15" s="1504"/>
      <c r="L15" s="1504"/>
      <c r="M15" s="1504"/>
      <c r="N15" s="1504"/>
      <c r="O15" s="1504"/>
      <c r="P15" s="1504"/>
      <c r="Q15" s="1504"/>
      <c r="R15" s="1504"/>
      <c r="S15" s="1504"/>
      <c r="T15" s="1504"/>
      <c r="U15" s="1504"/>
      <c r="V15" s="1504"/>
      <c r="W15" s="1504"/>
      <c r="X15" s="1504"/>
      <c r="Y15" s="1504"/>
      <c r="Z15" s="775"/>
      <c r="AA15" s="775"/>
      <c r="AB15" s="775"/>
      <c r="AC15" s="775"/>
      <c r="AD15" s="775"/>
      <c r="AE15" s="775"/>
      <c r="AF15" s="775"/>
      <c r="AG15" s="1505"/>
      <c r="AH15" s="1505"/>
      <c r="AI15" s="1505"/>
      <c r="AJ15" s="1505"/>
      <c r="AK15" s="1505"/>
      <c r="AL15" s="1505"/>
      <c r="AM15" s="1505"/>
      <c r="AN15" s="1505"/>
      <c r="AO15" s="1505"/>
      <c r="AP15" s="1505"/>
      <c r="AQ15" s="1505"/>
      <c r="AR15" s="1505"/>
      <c r="AS15" s="1505"/>
      <c r="AT15" s="1505"/>
      <c r="AU15" s="1505"/>
      <c r="AV15" s="1505"/>
      <c r="AW15" s="1505"/>
      <c r="AX15" s="775"/>
      <c r="AY15" s="775"/>
      <c r="AZ15" s="775"/>
      <c r="BA15" s="775"/>
      <c r="BB15" s="775"/>
      <c r="BC15" s="775"/>
      <c r="BD15" s="954"/>
      <c r="BF15" s="1021"/>
      <c r="BG15" s="1021"/>
      <c r="BH15" s="995" t="str">
        <f>IF(I15="","Údaj je potrebné vyplniť!","")</f>
        <v>Údaj je potrebné vyplniť!</v>
      </c>
    </row>
    <row r="16" spans="1:62" s="944" customFormat="1" ht="26.25" customHeight="1">
      <c r="B16" s="773"/>
      <c r="C16" s="775"/>
      <c r="D16" s="775"/>
      <c r="E16" s="775"/>
      <c r="F16" s="775"/>
      <c r="G16" s="775"/>
      <c r="H16" s="775"/>
      <c r="I16" s="1494" t="s">
        <v>917</v>
      </c>
      <c r="J16" s="1495"/>
      <c r="K16" s="1495"/>
      <c r="L16" s="1495"/>
      <c r="M16" s="1495"/>
      <c r="N16" s="1495"/>
      <c r="O16" s="1495"/>
      <c r="P16" s="1495"/>
      <c r="Q16" s="1495"/>
      <c r="R16" s="1495"/>
      <c r="S16" s="1495"/>
      <c r="T16" s="1495"/>
      <c r="U16" s="1495"/>
      <c r="V16" s="1495"/>
      <c r="W16" s="1495"/>
      <c r="X16" s="1495"/>
      <c r="Y16" s="1495"/>
      <c r="Z16" s="775"/>
      <c r="AA16" s="775"/>
      <c r="AB16" s="775"/>
      <c r="AC16" s="775"/>
      <c r="AD16" s="775"/>
      <c r="AE16" s="775"/>
      <c r="AF16" s="775"/>
      <c r="AG16" s="1495" t="s">
        <v>916</v>
      </c>
      <c r="AH16" s="1495"/>
      <c r="AI16" s="1495"/>
      <c r="AJ16" s="1495"/>
      <c r="AK16" s="1495"/>
      <c r="AL16" s="1495"/>
      <c r="AM16" s="1495"/>
      <c r="AN16" s="1495"/>
      <c r="AO16" s="1495"/>
      <c r="AP16" s="1495"/>
      <c r="AQ16" s="1495"/>
      <c r="AR16" s="1495"/>
      <c r="AS16" s="1495"/>
      <c r="AT16" s="1495"/>
      <c r="AU16" s="1495"/>
      <c r="AV16" s="1495"/>
      <c r="AW16" s="1495"/>
      <c r="AX16" s="775"/>
      <c r="AY16" s="775"/>
      <c r="AZ16" s="775"/>
      <c r="BA16" s="775"/>
      <c r="BB16" s="775"/>
      <c r="BC16" s="775"/>
      <c r="BD16" s="954"/>
      <c r="BF16" s="1021"/>
      <c r="BG16" s="1021"/>
      <c r="BH16" s="995"/>
    </row>
    <row r="17" spans="2:62" s="944" customFormat="1" ht="2.25" customHeight="1" thickBot="1">
      <c r="B17" s="773"/>
      <c r="C17" s="775"/>
      <c r="D17" s="775"/>
      <c r="E17" s="775"/>
      <c r="F17" s="775"/>
      <c r="G17" s="775"/>
      <c r="H17" s="775"/>
      <c r="I17" s="1259"/>
      <c r="J17" s="1260"/>
      <c r="K17" s="1260"/>
      <c r="L17" s="1260"/>
      <c r="M17" s="1260"/>
      <c r="N17" s="1260"/>
      <c r="O17" s="1260"/>
      <c r="P17" s="1260"/>
      <c r="Q17" s="1260"/>
      <c r="R17" s="1260"/>
      <c r="S17" s="1260"/>
      <c r="T17" s="1260"/>
      <c r="U17" s="1260"/>
      <c r="V17" s="1260"/>
      <c r="W17" s="1260"/>
      <c r="X17" s="1260"/>
      <c r="Y17" s="1260"/>
      <c r="Z17" s="775"/>
      <c r="AA17" s="775"/>
      <c r="AB17" s="775"/>
      <c r="AC17" s="775"/>
      <c r="AD17" s="775"/>
      <c r="AE17" s="775"/>
      <c r="AF17" s="775"/>
      <c r="AG17" s="1260"/>
      <c r="AH17" s="1260"/>
      <c r="AI17" s="1260"/>
      <c r="AJ17" s="1260"/>
      <c r="AK17" s="1260"/>
      <c r="AL17" s="1260"/>
      <c r="AM17" s="1260"/>
      <c r="AN17" s="1260"/>
      <c r="AO17" s="1260"/>
      <c r="AP17" s="1260"/>
      <c r="AQ17" s="1260"/>
      <c r="AR17" s="1260"/>
      <c r="AS17" s="1260"/>
      <c r="AT17" s="1260"/>
      <c r="AU17" s="1260"/>
      <c r="AV17" s="1260"/>
      <c r="AW17" s="1260"/>
      <c r="AX17" s="775"/>
      <c r="AY17" s="775"/>
      <c r="AZ17" s="775"/>
      <c r="BA17" s="775"/>
      <c r="BB17" s="775"/>
      <c r="BC17" s="775"/>
      <c r="BD17" s="954"/>
      <c r="BF17" s="1021"/>
      <c r="BG17" s="1021"/>
      <c r="BH17" s="995"/>
    </row>
    <row r="18" spans="2:62" s="944" customFormat="1" ht="14.25" customHeight="1" thickBot="1">
      <c r="B18" s="816"/>
      <c r="C18" s="1209" t="s">
        <v>931</v>
      </c>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817"/>
      <c r="AP18" s="817"/>
      <c r="AQ18" s="817"/>
      <c r="AR18" s="817"/>
      <c r="AS18" s="817"/>
      <c r="AT18" s="817"/>
      <c r="AU18" s="817"/>
      <c r="AV18" s="817"/>
      <c r="AW18" s="817"/>
      <c r="AX18" s="817"/>
      <c r="AY18" s="817"/>
      <c r="AZ18" s="817"/>
      <c r="BA18" s="817"/>
      <c r="BB18" s="817"/>
      <c r="BC18" s="817"/>
      <c r="BD18" s="953"/>
      <c r="BF18" s="1021"/>
      <c r="BG18" s="1021"/>
      <c r="BH18" s="1506" t="str">
        <f>IF(OR(D11&lt;&gt;"",D27&lt;&gt;""),"Dátum uzavretia poistnej zmluvy musí byť najneskôr deň pred začiatkom poistenia, t.j deň : ","")</f>
        <v/>
      </c>
      <c r="BI18" s="1506"/>
      <c r="BJ18" s="1506"/>
    </row>
    <row r="19" spans="2:62" s="944" customFormat="1" ht="2.25" customHeight="1">
      <c r="B19" s="1198"/>
      <c r="C19" s="1199"/>
      <c r="D19" s="1199"/>
      <c r="E19" s="1199"/>
      <c r="F19" s="1199"/>
      <c r="G19" s="1199"/>
      <c r="H19" s="1199"/>
      <c r="I19" s="1199"/>
      <c r="J19" s="1199"/>
      <c r="K19" s="1199"/>
      <c r="L19" s="1199"/>
      <c r="M19" s="1199"/>
      <c r="N19" s="1199"/>
      <c r="O19" s="1199"/>
      <c r="P19" s="1199"/>
      <c r="Q19" s="1199"/>
      <c r="R19" s="1199"/>
      <c r="S19" s="1199"/>
      <c r="T19" s="1199"/>
      <c r="U19" s="1199"/>
      <c r="V19" s="1199"/>
      <c r="W19" s="1199"/>
      <c r="X19" s="1199"/>
      <c r="Y19" s="1199"/>
      <c r="Z19" s="1199"/>
      <c r="AA19" s="1199"/>
      <c r="AB19" s="1199"/>
      <c r="AC19" s="1199"/>
      <c r="AD19" s="1199"/>
      <c r="AE19" s="1199"/>
      <c r="AF19" s="1200"/>
      <c r="AG19" s="1200"/>
      <c r="AH19" s="1200"/>
      <c r="AI19" s="1200"/>
      <c r="AJ19" s="1200"/>
      <c r="AK19" s="1200"/>
      <c r="AL19" s="1200"/>
      <c r="AM19" s="1200"/>
      <c r="AN19" s="1200"/>
      <c r="AO19" s="1200"/>
      <c r="AP19" s="1200"/>
      <c r="AQ19" s="1200"/>
      <c r="AR19" s="1200"/>
      <c r="AS19" s="1200"/>
      <c r="AT19" s="1200"/>
      <c r="AU19" s="1200"/>
      <c r="AV19" s="1200"/>
      <c r="AW19" s="1200"/>
      <c r="AX19" s="1200"/>
      <c r="AY19" s="1200"/>
      <c r="AZ19" s="1200"/>
      <c r="BA19" s="1200"/>
      <c r="BB19" s="1200"/>
      <c r="BC19" s="1200"/>
      <c r="BD19" s="1201"/>
      <c r="BF19" s="1021"/>
      <c r="BG19" s="1021"/>
      <c r="BH19" s="1506"/>
      <c r="BI19" s="1506"/>
      <c r="BJ19" s="1506"/>
    </row>
    <row r="20" spans="2:62" s="944" customFormat="1" ht="37.5" customHeight="1">
      <c r="B20" s="1197"/>
      <c r="C20" s="1507" t="s">
        <v>926</v>
      </c>
      <c r="D20" s="1507"/>
      <c r="E20" s="1507"/>
      <c r="F20" s="1507"/>
      <c r="G20" s="1507"/>
      <c r="H20" s="1507"/>
      <c r="I20" s="1507"/>
      <c r="J20" s="1507"/>
      <c r="K20" s="1507"/>
      <c r="L20" s="1507"/>
      <c r="M20" s="1507"/>
      <c r="N20" s="1507"/>
      <c r="O20" s="1507"/>
      <c r="P20" s="1507"/>
      <c r="Q20" s="1507"/>
      <c r="R20" s="1507"/>
      <c r="S20" s="1507"/>
      <c r="T20" s="1507"/>
      <c r="U20" s="1507"/>
      <c r="V20" s="1507"/>
      <c r="W20" s="1507"/>
      <c r="X20" s="1507"/>
      <c r="Y20" s="1507"/>
      <c r="Z20" s="1507"/>
      <c r="AA20" s="1507"/>
      <c r="AB20" s="1507"/>
      <c r="AC20" s="1507"/>
      <c r="AD20" s="1507"/>
      <c r="AE20" s="1507"/>
      <c r="AF20" s="1507"/>
      <c r="AG20" s="1507"/>
      <c r="AH20" s="1507"/>
      <c r="AI20" s="1507"/>
      <c r="AJ20" s="1507"/>
      <c r="AK20" s="1507"/>
      <c r="AL20" s="1507"/>
      <c r="AM20" s="1507"/>
      <c r="AN20" s="1507"/>
      <c r="AO20" s="1507"/>
      <c r="AP20" s="1507"/>
      <c r="AQ20" s="1507"/>
      <c r="AR20" s="1507"/>
      <c r="AS20" s="1507"/>
      <c r="AT20" s="1507"/>
      <c r="AU20" s="1507"/>
      <c r="AV20" s="1507"/>
      <c r="AW20" s="1507"/>
      <c r="AX20" s="1507"/>
      <c r="AY20" s="1507"/>
      <c r="AZ20" s="1507"/>
      <c r="BA20" s="1507"/>
      <c r="BB20" s="1507"/>
      <c r="BC20" s="1507"/>
      <c r="BD20" s="961"/>
      <c r="BF20" s="1021"/>
      <c r="BG20" s="1021"/>
      <c r="BH20" s="1506"/>
      <c r="BI20" s="1506"/>
      <c r="BJ20" s="1506"/>
    </row>
    <row r="21" spans="2:62" s="944" customFormat="1" ht="2.25" hidden="1" customHeight="1">
      <c r="B21" s="970"/>
      <c r="C21" s="1257"/>
      <c r="D21" s="1257"/>
      <c r="E21" s="1257"/>
      <c r="F21" s="1257"/>
      <c r="G21" s="1257"/>
      <c r="H21" s="1257"/>
      <c r="I21" s="1257"/>
      <c r="J21" s="1257"/>
      <c r="K21" s="1257"/>
      <c r="L21" s="1257"/>
      <c r="M21" s="1257"/>
      <c r="N21" s="1257"/>
      <c r="O21" s="1257"/>
      <c r="P21" s="1257"/>
      <c r="Q21" s="1257"/>
      <c r="R21" s="1257"/>
      <c r="S21" s="1257"/>
      <c r="T21" s="1257"/>
      <c r="U21" s="1257"/>
      <c r="V21" s="1257"/>
      <c r="W21" s="1257"/>
      <c r="X21" s="1257"/>
      <c r="Y21" s="1257"/>
      <c r="Z21" s="1257"/>
      <c r="AA21" s="1257"/>
      <c r="AB21" s="1257"/>
      <c r="AC21" s="1257"/>
      <c r="AD21" s="1257"/>
      <c r="AE21" s="1257"/>
      <c r="AF21" s="1257"/>
      <c r="AG21" s="1257"/>
      <c r="AH21" s="1257"/>
      <c r="AI21" s="1257"/>
      <c r="AJ21" s="1257"/>
      <c r="AK21" s="1257"/>
      <c r="AL21" s="1257"/>
      <c r="AM21" s="1257"/>
      <c r="AN21" s="1257"/>
      <c r="AO21" s="1257"/>
      <c r="AP21" s="1257"/>
      <c r="AQ21" s="1257"/>
      <c r="AR21" s="1257"/>
      <c r="AS21" s="1257"/>
      <c r="AT21" s="1257"/>
      <c r="AU21" s="1257"/>
      <c r="AV21" s="1257"/>
      <c r="AW21" s="1257"/>
      <c r="AX21" s="1257"/>
      <c r="AY21" s="1257"/>
      <c r="AZ21" s="1257"/>
      <c r="BA21" s="1257"/>
      <c r="BB21" s="1257"/>
      <c r="BC21" s="1257"/>
      <c r="BD21" s="971"/>
      <c r="BF21" s="1021" t="b">
        <v>0</v>
      </c>
      <c r="BG21" s="1021" t="b">
        <v>0</v>
      </c>
      <c r="BH21" s="1506"/>
      <c r="BI21" s="1506"/>
      <c r="BJ21" s="1506"/>
    </row>
    <row r="22" spans="2:62" s="944" customFormat="1" ht="84.75" customHeight="1">
      <c r="B22" s="773"/>
      <c r="C22" s="1508" t="s">
        <v>927</v>
      </c>
      <c r="D22" s="1508"/>
      <c r="E22" s="1508"/>
      <c r="F22" s="1508"/>
      <c r="G22" s="1508"/>
      <c r="H22" s="1508"/>
      <c r="I22" s="1508"/>
      <c r="J22" s="1508"/>
      <c r="K22" s="1508"/>
      <c r="L22" s="1508"/>
      <c r="M22" s="1508"/>
      <c r="N22" s="1508"/>
      <c r="O22" s="1508"/>
      <c r="P22" s="1508"/>
      <c r="Q22" s="1508"/>
      <c r="R22" s="1508"/>
      <c r="S22" s="1508"/>
      <c r="T22" s="1508"/>
      <c r="U22" s="1508"/>
      <c r="V22" s="1508"/>
      <c r="W22" s="1508"/>
      <c r="X22" s="1508"/>
      <c r="Y22" s="1508"/>
      <c r="Z22" s="1508"/>
      <c r="AA22" s="1508"/>
      <c r="AB22" s="1508"/>
      <c r="AC22" s="1508"/>
      <c r="AD22" s="1508"/>
      <c r="AE22" s="1508"/>
      <c r="AF22" s="1508"/>
      <c r="AG22" s="1508"/>
      <c r="AH22" s="1508"/>
      <c r="AI22" s="1508"/>
      <c r="AJ22" s="1508"/>
      <c r="AK22" s="1508"/>
      <c r="AL22" s="1508"/>
      <c r="AM22" s="1508"/>
      <c r="AN22" s="1508"/>
      <c r="AO22" s="1508"/>
      <c r="AP22" s="1508"/>
      <c r="AQ22" s="1508"/>
      <c r="AR22" s="1508"/>
      <c r="AS22" s="1508"/>
      <c r="AT22" s="1508"/>
      <c r="AU22" s="1508"/>
      <c r="AV22" s="1508"/>
      <c r="AW22" s="1508"/>
      <c r="AX22" s="1508"/>
      <c r="AY22" s="1508"/>
      <c r="AZ22" s="1508"/>
      <c r="BA22" s="1508"/>
      <c r="BB22" s="1508"/>
      <c r="BC22" s="1508"/>
      <c r="BD22" s="961"/>
      <c r="BF22" s="1021"/>
      <c r="BG22" s="1021"/>
      <c r="BH22" s="1509" t="str">
        <f>IF(OR(D11&lt;&gt;"",D27&lt;&gt;""),RCD-1,"")</f>
        <v/>
      </c>
      <c r="BI22" s="1509"/>
      <c r="BJ22" s="1509"/>
    </row>
    <row r="23" spans="2:62" s="944" customFormat="1" ht="7.5" customHeight="1">
      <c r="B23" s="773"/>
      <c r="C23" s="960"/>
      <c r="D23" s="1258"/>
      <c r="E23" s="1258"/>
      <c r="F23" s="1258"/>
      <c r="G23" s="1258"/>
      <c r="H23" s="1258"/>
      <c r="I23" s="1258"/>
      <c r="J23" s="1258"/>
      <c r="K23" s="1258"/>
      <c r="L23" s="1258"/>
      <c r="M23" s="1258"/>
      <c r="N23" s="1258"/>
      <c r="O23" s="1258"/>
      <c r="P23" s="1258"/>
      <c r="Q23" s="1258"/>
      <c r="R23" s="1258"/>
      <c r="S23" s="1258"/>
      <c r="T23" s="1258"/>
      <c r="U23" s="1258"/>
      <c r="V23" s="1258"/>
      <c r="W23" s="1258"/>
      <c r="X23" s="1258"/>
      <c r="Y23" s="1258"/>
      <c r="Z23" s="1258"/>
      <c r="AA23" s="1258"/>
      <c r="AB23" s="1258"/>
      <c r="AC23" s="1258"/>
      <c r="AD23" s="1258"/>
      <c r="AE23" s="1258"/>
      <c r="AF23" s="1258"/>
      <c r="AG23" s="1258"/>
      <c r="AH23" s="1258"/>
      <c r="AI23" s="1258"/>
      <c r="AJ23" s="1258"/>
      <c r="AK23" s="1258"/>
      <c r="AL23" s="1258"/>
      <c r="AM23" s="1258"/>
      <c r="AN23" s="1258"/>
      <c r="AO23" s="1258"/>
      <c r="AP23" s="1258"/>
      <c r="AQ23" s="1258"/>
      <c r="AR23" s="1258"/>
      <c r="AS23" s="1258"/>
      <c r="AT23" s="1258"/>
      <c r="AU23" s="1258"/>
      <c r="AV23" s="1258"/>
      <c r="AW23" s="1258"/>
      <c r="AX23" s="1258"/>
      <c r="AY23" s="1258"/>
      <c r="AZ23" s="1258"/>
      <c r="BA23" s="1258"/>
      <c r="BB23" s="1258"/>
      <c r="BC23" s="1258"/>
      <c r="BD23" s="961"/>
      <c r="BF23" s="1021"/>
      <c r="BG23" s="1021"/>
      <c r="BH23" s="995"/>
    </row>
    <row r="24" spans="2:62" s="944" customFormat="1" ht="13.8">
      <c r="B24" s="773"/>
      <c r="C24" s="775"/>
      <c r="D24" s="928"/>
      <c r="E24" s="1196" t="s">
        <v>861</v>
      </c>
      <c r="F24" s="928"/>
      <c r="G24" s="928"/>
      <c r="H24" s="928"/>
      <c r="I24" s="928"/>
      <c r="J24" s="928"/>
      <c r="K24" s="928"/>
      <c r="L24" s="928"/>
      <c r="M24" s="928"/>
      <c r="N24" s="1196" t="s">
        <v>862</v>
      </c>
      <c r="O24" s="928"/>
      <c r="P24" s="928"/>
      <c r="Q24" s="928"/>
      <c r="R24" s="928"/>
      <c r="S24" s="928"/>
      <c r="T24" s="928"/>
      <c r="U24" s="775"/>
      <c r="V24" s="775"/>
      <c r="W24" s="775"/>
      <c r="X24" s="775"/>
      <c r="Y24" s="775"/>
      <c r="Z24" s="775"/>
      <c r="AA24" s="775"/>
      <c r="AB24" s="775"/>
      <c r="AC24" s="775"/>
      <c r="AD24" s="775"/>
      <c r="AE24" s="775"/>
      <c r="AF24" s="775"/>
      <c r="AG24" s="775"/>
      <c r="AH24" s="775"/>
      <c r="AI24" s="775"/>
      <c r="AJ24" s="775"/>
      <c r="AK24" s="775"/>
      <c r="AL24" s="775"/>
      <c r="AM24" s="775"/>
      <c r="AN24" s="775"/>
      <c r="AO24" s="775"/>
      <c r="AP24" s="775"/>
      <c r="AQ24" s="775"/>
      <c r="AR24" s="775"/>
      <c r="AS24" s="775"/>
      <c r="AT24" s="775"/>
      <c r="AU24" s="775"/>
      <c r="AV24" s="775"/>
      <c r="AW24" s="775"/>
      <c r="AX24" s="775"/>
      <c r="AY24" s="775"/>
      <c r="AZ24" s="775"/>
      <c r="BA24" s="775"/>
      <c r="BB24" s="775"/>
      <c r="BC24" s="775"/>
      <c r="BD24" s="954"/>
      <c r="BF24" s="1275" t="b">
        <v>0</v>
      </c>
      <c r="BG24" s="1275" t="b">
        <v>0</v>
      </c>
      <c r="BH24" s="995" t="str">
        <f>IF(AND(BF24=FALSE,BG24=FALSE),"Potrebné uviesť ÁNO alebo NIE!",IF(OR(AND(BF24=TRUE,BG24=TRUE),AND(BF24=TRUE,BG24=TRUE)),"Potrebné uviesť iba jedno  ÁNO alebo NIE!",""))</f>
        <v>Potrebné uviesť ÁNO alebo NIE!</v>
      </c>
    </row>
    <row r="25" spans="2:62" s="944" customFormat="1" ht="3" customHeight="1">
      <c r="B25" s="773"/>
      <c r="C25" s="775"/>
      <c r="D25" s="784"/>
      <c r="E25" s="775"/>
      <c r="F25" s="775"/>
      <c r="G25" s="775"/>
      <c r="H25" s="775"/>
      <c r="I25" s="775"/>
      <c r="J25" s="775"/>
      <c r="K25" s="775"/>
      <c r="L25" s="775"/>
      <c r="M25" s="775"/>
      <c r="N25" s="775"/>
      <c r="O25" s="775"/>
      <c r="P25" s="775"/>
      <c r="Q25" s="775"/>
      <c r="R25" s="775"/>
      <c r="S25" s="775"/>
      <c r="T25" s="775"/>
      <c r="U25" s="775"/>
      <c r="V25" s="775"/>
      <c r="W25" s="775"/>
      <c r="X25" s="775"/>
      <c r="Y25" s="775"/>
      <c r="Z25" s="775"/>
      <c r="AA25" s="775"/>
      <c r="AB25" s="775"/>
      <c r="AC25" s="775"/>
      <c r="AD25" s="775"/>
      <c r="AE25" s="775"/>
      <c r="AF25" s="775"/>
      <c r="AG25" s="775"/>
      <c r="AH25" s="775"/>
      <c r="AI25" s="775"/>
      <c r="AJ25" s="775"/>
      <c r="AK25" s="775"/>
      <c r="AL25" s="775"/>
      <c r="AM25" s="775"/>
      <c r="AN25" s="775"/>
      <c r="AO25" s="775"/>
      <c r="AP25" s="775"/>
      <c r="AQ25" s="775"/>
      <c r="AR25" s="775"/>
      <c r="AS25" s="775"/>
      <c r="AT25" s="775"/>
      <c r="AU25" s="775"/>
      <c r="AV25" s="775"/>
      <c r="AW25" s="775"/>
      <c r="AX25" s="775"/>
      <c r="AY25" s="775"/>
      <c r="AZ25" s="775"/>
      <c r="BA25" s="775"/>
      <c r="BB25" s="775"/>
      <c r="BC25" s="775"/>
      <c r="BD25" s="954"/>
      <c r="BF25" s="1021" t="b">
        <v>1</v>
      </c>
      <c r="BG25" s="1021" t="b">
        <v>0</v>
      </c>
      <c r="BH25" s="995"/>
    </row>
    <row r="26" spans="2:62" s="944" customFormat="1" ht="3" customHeight="1">
      <c r="B26" s="773"/>
      <c r="C26" s="775"/>
      <c r="D26" s="784"/>
      <c r="E26" s="775"/>
      <c r="F26" s="775"/>
      <c r="G26" s="775"/>
      <c r="H26" s="775"/>
      <c r="I26" s="775"/>
      <c r="J26" s="775"/>
      <c r="K26" s="775"/>
      <c r="L26" s="775"/>
      <c r="M26" s="775"/>
      <c r="N26" s="775"/>
      <c r="O26" s="775"/>
      <c r="P26" s="775"/>
      <c r="Q26" s="775"/>
      <c r="R26" s="775"/>
      <c r="S26" s="775"/>
      <c r="T26" s="775"/>
      <c r="U26" s="775"/>
      <c r="V26" s="775"/>
      <c r="W26" s="775"/>
      <c r="X26" s="775"/>
      <c r="Y26" s="775"/>
      <c r="Z26" s="775"/>
      <c r="AA26" s="775"/>
      <c r="AB26" s="775"/>
      <c r="AC26" s="775"/>
      <c r="AD26" s="775"/>
      <c r="AE26" s="775"/>
      <c r="AF26" s="775"/>
      <c r="AG26" s="775"/>
      <c r="AH26" s="775"/>
      <c r="AI26" s="775"/>
      <c r="AJ26" s="775"/>
      <c r="AK26" s="775"/>
      <c r="AL26" s="775"/>
      <c r="AM26" s="775"/>
      <c r="AN26" s="775"/>
      <c r="AO26" s="775"/>
      <c r="AP26" s="775"/>
      <c r="AQ26" s="775"/>
      <c r="AR26" s="775"/>
      <c r="AS26" s="775"/>
      <c r="AT26" s="775"/>
      <c r="AU26" s="775"/>
      <c r="AV26" s="775"/>
      <c r="AW26" s="775"/>
      <c r="AX26" s="775"/>
      <c r="AY26" s="775"/>
      <c r="AZ26" s="775"/>
      <c r="BA26" s="775"/>
      <c r="BB26" s="775"/>
      <c r="BC26" s="775"/>
      <c r="BD26" s="954"/>
      <c r="BF26" s="1021" t="b">
        <v>0</v>
      </c>
      <c r="BG26" s="1021" t="b">
        <v>0</v>
      </c>
      <c r="BH26" s="995"/>
    </row>
    <row r="27" spans="2:62" s="944" customFormat="1" ht="35.1" customHeight="1">
      <c r="B27" s="773"/>
      <c r="C27" s="775"/>
      <c r="D27" s="1491"/>
      <c r="E27" s="1492"/>
      <c r="F27" s="1492"/>
      <c r="G27" s="1492"/>
      <c r="H27" s="1492"/>
      <c r="I27" s="1492"/>
      <c r="J27" s="1492"/>
      <c r="K27" s="1492"/>
      <c r="L27" s="1492"/>
      <c r="M27" s="1492"/>
      <c r="N27" s="1492"/>
      <c r="O27" s="1492"/>
      <c r="P27" s="1492"/>
      <c r="Q27" s="1492"/>
      <c r="R27" s="1492"/>
      <c r="S27" s="1492"/>
      <c r="T27" s="1492"/>
      <c r="U27" s="775"/>
      <c r="V27" s="775"/>
      <c r="W27" s="775"/>
      <c r="X27" s="775"/>
      <c r="Y27" s="775"/>
      <c r="Z27" s="775"/>
      <c r="AA27" s="775"/>
      <c r="AB27" s="775"/>
      <c r="AC27" s="775"/>
      <c r="AD27" s="775"/>
      <c r="AE27" s="775"/>
      <c r="AF27" s="775"/>
      <c r="AG27" s="775"/>
      <c r="AH27" s="775"/>
      <c r="AI27" s="775"/>
      <c r="AJ27" s="775"/>
      <c r="AK27" s="775"/>
      <c r="AL27" s="775"/>
      <c r="AM27" s="775"/>
      <c r="AN27" s="775"/>
      <c r="AO27" s="775"/>
      <c r="AP27" s="775"/>
      <c r="AQ27" s="775"/>
      <c r="AR27" s="775"/>
      <c r="AS27" s="775"/>
      <c r="AT27" s="775"/>
      <c r="AU27" s="775"/>
      <c r="AV27" s="775"/>
      <c r="AW27" s="775"/>
      <c r="AX27" s="775"/>
      <c r="AY27" s="775"/>
      <c r="AZ27" s="775"/>
      <c r="BA27" s="775"/>
      <c r="BB27" s="775"/>
      <c r="BC27" s="775"/>
      <c r="BD27" s="954"/>
      <c r="BF27" s="1021"/>
      <c r="BG27" s="1021"/>
      <c r="BH27" s="995" t="str">
        <f>IF(D27="","Údaj je potrebné vyplniť!","")</f>
        <v>Údaj je potrebné vyplniť!</v>
      </c>
    </row>
    <row r="28" spans="2:62" s="944" customFormat="1" ht="13.8">
      <c r="B28" s="773"/>
      <c r="C28" s="775"/>
      <c r="D28" s="968"/>
      <c r="E28" s="956"/>
      <c r="F28" s="956"/>
      <c r="G28" s="956"/>
      <c r="H28" s="956"/>
      <c r="I28" s="956"/>
      <c r="J28" s="956"/>
      <c r="K28" s="956"/>
      <c r="L28" s="1261" t="s">
        <v>860</v>
      </c>
      <c r="M28" s="956"/>
      <c r="N28" s="956"/>
      <c r="O28" s="956"/>
      <c r="P28" s="956"/>
      <c r="Q28" s="956"/>
      <c r="R28" s="956"/>
      <c r="S28" s="956"/>
      <c r="T28" s="958"/>
      <c r="U28" s="775"/>
      <c r="V28" s="775"/>
      <c r="W28" s="775"/>
      <c r="X28" s="972"/>
      <c r="Y28" s="972"/>
      <c r="Z28" s="972"/>
      <c r="AA28" s="972"/>
      <c r="AB28" s="972"/>
      <c r="AC28" s="972"/>
      <c r="AD28" s="972"/>
      <c r="AE28" s="972"/>
      <c r="AF28" s="972"/>
      <c r="AG28" s="972"/>
      <c r="AH28" s="972"/>
      <c r="AI28" s="972"/>
      <c r="AJ28" s="972"/>
      <c r="AK28" s="972"/>
      <c r="AL28" s="955"/>
      <c r="AM28" s="775"/>
      <c r="AN28" s="1493" t="s">
        <v>858</v>
      </c>
      <c r="AO28" s="1493"/>
      <c r="AP28" s="1493"/>
      <c r="AQ28" s="1493"/>
      <c r="AR28" s="1493"/>
      <c r="AS28" s="1493"/>
      <c r="AT28" s="1493"/>
      <c r="AU28" s="1493"/>
      <c r="AV28" s="1493"/>
      <c r="AW28" s="1493"/>
      <c r="AX28" s="1493"/>
      <c r="AY28" s="1493"/>
      <c r="AZ28" s="1493"/>
      <c r="BA28" s="1493"/>
      <c r="BB28" s="775"/>
      <c r="BC28" s="775"/>
      <c r="BD28" s="954"/>
      <c r="BF28" s="1021"/>
      <c r="BG28" s="1021"/>
      <c r="BH28" s="995"/>
    </row>
    <row r="29" spans="2:62" ht="13.5" hidden="1" customHeight="1">
      <c r="B29" s="945"/>
      <c r="C29" s="947"/>
      <c r="D29" s="1208"/>
      <c r="E29" s="1488"/>
      <c r="F29" s="1488"/>
      <c r="G29" s="1488"/>
      <c r="H29" s="1488"/>
      <c r="I29" s="1488"/>
      <c r="J29" s="1488"/>
      <c r="K29" s="1488"/>
      <c r="L29" s="1488"/>
      <c r="M29" s="1488"/>
      <c r="N29" s="1488"/>
      <c r="O29" s="1488"/>
      <c r="P29" s="1488"/>
      <c r="Q29" s="1488"/>
      <c r="R29" s="1488"/>
      <c r="S29" s="1488"/>
      <c r="T29" s="1488"/>
      <c r="U29" s="1488"/>
      <c r="V29" s="1488"/>
      <c r="W29" s="1488"/>
      <c r="X29" s="1488"/>
      <c r="Y29" s="1488"/>
      <c r="Z29" s="1488"/>
      <c r="AA29" s="1488"/>
      <c r="AB29" s="1488"/>
      <c r="AC29" s="1488"/>
      <c r="AD29" s="1488"/>
      <c r="AE29" s="1488"/>
      <c r="AF29" s="1488"/>
      <c r="AG29" s="1488"/>
      <c r="AH29" s="1488"/>
      <c r="AI29" s="1488"/>
      <c r="AJ29" s="1488"/>
      <c r="AK29" s="1488"/>
      <c r="AL29" s="1488"/>
      <c r="AM29" s="1488"/>
      <c r="AN29" s="1488"/>
      <c r="AO29" s="1488"/>
      <c r="AP29" s="1488"/>
      <c r="AQ29" s="1488"/>
      <c r="AR29" s="1488"/>
      <c r="AS29" s="1488"/>
      <c r="AT29" s="1488"/>
      <c r="AU29" s="1488"/>
      <c r="AV29" s="1488"/>
      <c r="AW29" s="1488"/>
      <c r="AX29" s="1488"/>
      <c r="AY29" s="1488"/>
      <c r="AZ29" s="1488"/>
      <c r="BA29" s="1488"/>
      <c r="BB29" s="1488"/>
      <c r="BC29" s="1488"/>
      <c r="BD29" s="703"/>
    </row>
    <row r="30" spans="2:62" ht="13.5" hidden="1" customHeight="1">
      <c r="B30" s="945"/>
      <c r="C30" s="947"/>
      <c r="D30" s="1208"/>
      <c r="E30" s="1488"/>
      <c r="F30" s="1488"/>
      <c r="G30" s="1488"/>
      <c r="H30" s="1488"/>
      <c r="I30" s="1488"/>
      <c r="J30" s="1488"/>
      <c r="K30" s="1488"/>
      <c r="L30" s="1488"/>
      <c r="M30" s="1488"/>
      <c r="N30" s="1488"/>
      <c r="O30" s="1488"/>
      <c r="P30" s="1488"/>
      <c r="Q30" s="1488"/>
      <c r="R30" s="1488"/>
      <c r="S30" s="1488"/>
      <c r="T30" s="1488"/>
      <c r="U30" s="1488"/>
      <c r="V30" s="1488"/>
      <c r="W30" s="1488"/>
      <c r="X30" s="1488"/>
      <c r="Y30" s="1488"/>
      <c r="Z30" s="1488"/>
      <c r="AA30" s="1488"/>
      <c r="AB30" s="1488"/>
      <c r="AC30" s="1488"/>
      <c r="AD30" s="1488"/>
      <c r="AE30" s="1488"/>
      <c r="AF30" s="1488"/>
      <c r="AG30" s="1488"/>
      <c r="AH30" s="1488"/>
      <c r="AI30" s="1488"/>
      <c r="AJ30" s="1488"/>
      <c r="AK30" s="1488"/>
      <c r="AL30" s="1488"/>
      <c r="AM30" s="1488"/>
      <c r="AN30" s="1488"/>
      <c r="AO30" s="1488"/>
      <c r="AP30" s="1488"/>
      <c r="AQ30" s="1488"/>
      <c r="AR30" s="1488"/>
      <c r="AS30" s="1488"/>
      <c r="AT30" s="1488"/>
      <c r="AU30" s="1488"/>
      <c r="AV30" s="1488"/>
      <c r="AW30" s="1488"/>
      <c r="AX30" s="1488"/>
      <c r="AY30" s="1488"/>
      <c r="AZ30" s="1488"/>
      <c r="BA30" s="1488"/>
      <c r="BB30" s="1488"/>
      <c r="BC30" s="1488"/>
      <c r="BD30" s="703"/>
    </row>
    <row r="31" spans="2:62" ht="25.5" hidden="1" customHeight="1">
      <c r="B31" s="945"/>
      <c r="C31" s="947"/>
      <c r="D31" s="1208"/>
      <c r="E31" s="1488"/>
      <c r="F31" s="1488"/>
      <c r="G31" s="1488"/>
      <c r="H31" s="1488"/>
      <c r="I31" s="1488"/>
      <c r="J31" s="1488"/>
      <c r="K31" s="1488"/>
      <c r="L31" s="1488"/>
      <c r="M31" s="1488"/>
      <c r="N31" s="1488"/>
      <c r="O31" s="1488"/>
      <c r="P31" s="1488"/>
      <c r="Q31" s="1488"/>
      <c r="R31" s="1488"/>
      <c r="S31" s="1488"/>
      <c r="T31" s="1488"/>
      <c r="U31" s="1488"/>
      <c r="V31" s="1488"/>
      <c r="W31" s="1488"/>
      <c r="X31" s="1488"/>
      <c r="Y31" s="1488"/>
      <c r="Z31" s="1488"/>
      <c r="AA31" s="1488"/>
      <c r="AB31" s="1488"/>
      <c r="AC31" s="1488"/>
      <c r="AD31" s="1488"/>
      <c r="AE31" s="1488"/>
      <c r="AF31" s="1488"/>
      <c r="AG31" s="1488"/>
      <c r="AH31" s="1488"/>
      <c r="AI31" s="1488"/>
      <c r="AJ31" s="1488"/>
      <c r="AK31" s="1488"/>
      <c r="AL31" s="1488"/>
      <c r="AM31" s="1488"/>
      <c r="AN31" s="1488"/>
      <c r="AO31" s="1488"/>
      <c r="AP31" s="1488"/>
      <c r="AQ31" s="1488"/>
      <c r="AR31" s="1488"/>
      <c r="AS31" s="1488"/>
      <c r="AT31" s="1488"/>
      <c r="AU31" s="1488"/>
      <c r="AV31" s="1488"/>
      <c r="AW31" s="1488"/>
      <c r="AX31" s="1488"/>
      <c r="AY31" s="1488"/>
      <c r="AZ31" s="1488"/>
      <c r="BA31" s="1488"/>
      <c r="BB31" s="1488"/>
      <c r="BC31" s="1488"/>
      <c r="BD31" s="703"/>
    </row>
    <row r="32" spans="2:62" ht="12.75" hidden="1" customHeight="1">
      <c r="B32" s="945"/>
      <c r="C32" s="947"/>
      <c r="D32" s="1208"/>
      <c r="E32" s="1488"/>
      <c r="F32" s="1488"/>
      <c r="G32" s="1488"/>
      <c r="H32" s="1488"/>
      <c r="I32" s="1488"/>
      <c r="J32" s="1488"/>
      <c r="K32" s="1488"/>
      <c r="L32" s="1488"/>
      <c r="M32" s="1488"/>
      <c r="N32" s="1488"/>
      <c r="O32" s="1488"/>
      <c r="P32" s="1488"/>
      <c r="Q32" s="1488"/>
      <c r="R32" s="1488"/>
      <c r="S32" s="1488"/>
      <c r="T32" s="1488"/>
      <c r="U32" s="1488"/>
      <c r="V32" s="1488"/>
      <c r="W32" s="1488"/>
      <c r="X32" s="1488"/>
      <c r="Y32" s="1488"/>
      <c r="Z32" s="1488"/>
      <c r="AA32" s="1488"/>
      <c r="AB32" s="1488"/>
      <c r="AC32" s="1488"/>
      <c r="AD32" s="1488"/>
      <c r="AE32" s="1488"/>
      <c r="AF32" s="1488"/>
      <c r="AG32" s="1488"/>
      <c r="AH32" s="1488"/>
      <c r="AI32" s="1488"/>
      <c r="AJ32" s="1488"/>
      <c r="AK32" s="1488"/>
      <c r="AL32" s="1488"/>
      <c r="AM32" s="1488"/>
      <c r="AN32" s="1488"/>
      <c r="AO32" s="1488"/>
      <c r="AP32" s="1488"/>
      <c r="AQ32" s="1488"/>
      <c r="AR32" s="1488"/>
      <c r="AS32" s="1488"/>
      <c r="AT32" s="1488"/>
      <c r="AU32" s="1488"/>
      <c r="AV32" s="1488"/>
      <c r="AW32" s="1488"/>
      <c r="AX32" s="1488"/>
      <c r="AY32" s="1488"/>
      <c r="AZ32" s="1488"/>
      <c r="BA32" s="1488"/>
      <c r="BB32" s="1488"/>
      <c r="BC32" s="1488"/>
      <c r="BD32" s="703"/>
    </row>
    <row r="33" spans="2:57" ht="12" hidden="1" customHeight="1">
      <c r="B33" s="945"/>
      <c r="C33" s="946"/>
      <c r="D33" s="1208"/>
      <c r="E33" s="1488"/>
      <c r="F33" s="1488"/>
      <c r="G33" s="1488"/>
      <c r="H33" s="1488"/>
      <c r="I33" s="1488"/>
      <c r="J33" s="1488"/>
      <c r="K33" s="1488"/>
      <c r="L33" s="1488"/>
      <c r="M33" s="1488"/>
      <c r="N33" s="1488"/>
      <c r="O33" s="1488"/>
      <c r="P33" s="1488"/>
      <c r="Q33" s="1488"/>
      <c r="R33" s="1488"/>
      <c r="S33" s="1488"/>
      <c r="T33" s="1488"/>
      <c r="U33" s="1488"/>
      <c r="V33" s="1488"/>
      <c r="W33" s="1488"/>
      <c r="X33" s="1488"/>
      <c r="Y33" s="1488"/>
      <c r="Z33" s="1488"/>
      <c r="AA33" s="1488"/>
      <c r="AB33" s="1488"/>
      <c r="AC33" s="1488"/>
      <c r="AD33" s="1488"/>
      <c r="AE33" s="1488"/>
      <c r="AF33" s="1488"/>
      <c r="AG33" s="1488"/>
      <c r="AH33" s="1488"/>
      <c r="AI33" s="1488"/>
      <c r="AJ33" s="1488"/>
      <c r="AK33" s="1488"/>
      <c r="AL33" s="1488"/>
      <c r="AM33" s="1488"/>
      <c r="AN33" s="1488"/>
      <c r="AO33" s="1488"/>
      <c r="AP33" s="1488"/>
      <c r="AQ33" s="1488"/>
      <c r="AR33" s="1488"/>
      <c r="AS33" s="1488"/>
      <c r="AT33" s="1488"/>
      <c r="AU33" s="1488"/>
      <c r="AV33" s="1488"/>
      <c r="AW33" s="1488"/>
      <c r="AX33" s="1488"/>
      <c r="AY33" s="1488"/>
      <c r="AZ33" s="1488"/>
      <c r="BA33" s="1488"/>
      <c r="BB33" s="1488"/>
      <c r="BC33" s="1488"/>
      <c r="BD33" s="703"/>
    </row>
    <row r="34" spans="2:57" ht="5.25" customHeight="1">
      <c r="B34" s="945"/>
      <c r="C34" s="948"/>
      <c r="D34" s="1489"/>
      <c r="E34" s="1489"/>
      <c r="F34" s="1489"/>
      <c r="G34" s="1489"/>
      <c r="H34" s="1489"/>
      <c r="I34" s="1489"/>
      <c r="J34" s="1489"/>
      <c r="K34" s="1489"/>
      <c r="L34" s="1489"/>
      <c r="M34" s="1489"/>
      <c r="N34" s="1489"/>
      <c r="O34" s="1489"/>
      <c r="P34" s="1489"/>
      <c r="Q34" s="1489"/>
      <c r="R34" s="1489"/>
      <c r="S34" s="1489"/>
      <c r="T34" s="1489"/>
      <c r="U34" s="1489"/>
      <c r="V34" s="1489"/>
      <c r="W34" s="1489"/>
      <c r="X34" s="1489"/>
      <c r="Y34" s="1489"/>
      <c r="Z34" s="1489"/>
      <c r="AA34" s="1489"/>
      <c r="AB34" s="1489"/>
      <c r="AC34" s="1489"/>
      <c r="AD34" s="1489"/>
      <c r="AE34" s="1489"/>
      <c r="AF34" s="1489"/>
      <c r="AG34" s="1489"/>
      <c r="AH34" s="1489"/>
      <c r="AI34" s="1489"/>
      <c r="AJ34" s="1489"/>
      <c r="AK34" s="1489"/>
      <c r="AL34" s="1489"/>
      <c r="AM34" s="1489"/>
      <c r="AN34" s="1489"/>
      <c r="AO34" s="1489"/>
      <c r="AP34" s="1489"/>
      <c r="AQ34" s="1489"/>
      <c r="AR34" s="1489"/>
      <c r="AS34" s="1489"/>
      <c r="AT34" s="1489"/>
      <c r="AU34" s="1489"/>
      <c r="AV34" s="1489"/>
      <c r="AW34" s="1489"/>
      <c r="AX34" s="1489"/>
      <c r="AY34" s="1489"/>
      <c r="AZ34" s="1489"/>
      <c r="BA34" s="1489"/>
      <c r="BB34" s="1489"/>
      <c r="BC34" s="1489"/>
      <c r="BD34" s="703"/>
    </row>
    <row r="35" spans="2:57" ht="11.25" hidden="1" customHeight="1">
      <c r="B35" s="945"/>
      <c r="C35" s="1204"/>
      <c r="D35" s="1489"/>
      <c r="E35" s="1489"/>
      <c r="F35" s="1489"/>
      <c r="G35" s="1489"/>
      <c r="H35" s="1489"/>
      <c r="I35" s="1489"/>
      <c r="J35" s="1489"/>
      <c r="K35" s="1489"/>
      <c r="L35" s="1489"/>
      <c r="M35" s="1489"/>
      <c r="N35" s="1489"/>
      <c r="O35" s="1489"/>
      <c r="P35" s="1489"/>
      <c r="Q35" s="1489"/>
      <c r="R35" s="1489"/>
      <c r="S35" s="1489"/>
      <c r="T35" s="1489"/>
      <c r="U35" s="1489"/>
      <c r="V35" s="1489"/>
      <c r="W35" s="1489"/>
      <c r="X35" s="1489"/>
      <c r="Y35" s="1489"/>
      <c r="Z35" s="1489"/>
      <c r="AA35" s="1489"/>
      <c r="AB35" s="1489"/>
      <c r="AC35" s="1489"/>
      <c r="AD35" s="1489"/>
      <c r="AE35" s="1489"/>
      <c r="AF35" s="1489"/>
      <c r="AG35" s="1489"/>
      <c r="AH35" s="1489"/>
      <c r="AI35" s="1489"/>
      <c r="AJ35" s="1489"/>
      <c r="AK35" s="1489"/>
      <c r="AL35" s="1489"/>
      <c r="AM35" s="1489"/>
      <c r="AN35" s="1489"/>
      <c r="AO35" s="1489"/>
      <c r="AP35" s="1489"/>
      <c r="AQ35" s="1489"/>
      <c r="AR35" s="1489"/>
      <c r="AS35" s="1489"/>
      <c r="AT35" s="1489"/>
      <c r="AU35" s="1489"/>
      <c r="AV35" s="1489"/>
      <c r="AW35" s="1489"/>
      <c r="AX35" s="1489"/>
      <c r="AY35" s="1489"/>
      <c r="AZ35" s="1489"/>
      <c r="BA35" s="1489"/>
      <c r="BB35" s="1489"/>
      <c r="BC35" s="1489"/>
      <c r="BD35" s="703"/>
    </row>
    <row r="36" spans="2:57" ht="26.25" hidden="1" customHeight="1">
      <c r="B36" s="945"/>
      <c r="C36" s="1195"/>
      <c r="D36" s="1489"/>
      <c r="E36" s="1489"/>
      <c r="F36" s="1489"/>
      <c r="G36" s="1489"/>
      <c r="H36" s="1489"/>
      <c r="I36" s="1489"/>
      <c r="J36" s="1489"/>
      <c r="K36" s="1489"/>
      <c r="L36" s="1489"/>
      <c r="M36" s="1489"/>
      <c r="N36" s="1489"/>
      <c r="O36" s="1489"/>
      <c r="P36" s="1489"/>
      <c r="Q36" s="1489"/>
      <c r="R36" s="1489"/>
      <c r="S36" s="1489"/>
      <c r="T36" s="1489"/>
      <c r="U36" s="1489"/>
      <c r="V36" s="1489"/>
      <c r="W36" s="1489"/>
      <c r="X36" s="1489"/>
      <c r="Y36" s="1489"/>
      <c r="Z36" s="1489"/>
      <c r="AA36" s="1489"/>
      <c r="AB36" s="1489"/>
      <c r="AC36" s="1489"/>
      <c r="AD36" s="1489"/>
      <c r="AE36" s="1489"/>
      <c r="AF36" s="1489"/>
      <c r="AG36" s="1489"/>
      <c r="AH36" s="1489"/>
      <c r="AI36" s="1489"/>
      <c r="AJ36" s="1489"/>
      <c r="AK36" s="1489"/>
      <c r="AL36" s="1489"/>
      <c r="AM36" s="1489"/>
      <c r="AN36" s="1489"/>
      <c r="AO36" s="1489"/>
      <c r="AP36" s="1489"/>
      <c r="AQ36" s="1489"/>
      <c r="AR36" s="1489"/>
      <c r="AS36" s="1489"/>
      <c r="AT36" s="1489"/>
      <c r="AU36" s="1489"/>
      <c r="AV36" s="1489"/>
      <c r="AW36" s="1489"/>
      <c r="AX36" s="1489"/>
      <c r="AY36" s="1489"/>
      <c r="AZ36" s="1489"/>
      <c r="BA36" s="1489"/>
      <c r="BB36" s="1489"/>
      <c r="BC36" s="1489"/>
      <c r="BD36" s="703"/>
    </row>
    <row r="37" spans="2:57" ht="27.75" customHeight="1" thickBot="1">
      <c r="B37" s="1486"/>
      <c r="C37" s="1487"/>
      <c r="D37" s="1489"/>
      <c r="E37" s="1489"/>
      <c r="F37" s="1489"/>
      <c r="G37" s="1489"/>
      <c r="H37" s="1489"/>
      <c r="I37" s="1489"/>
      <c r="J37" s="1489"/>
      <c r="K37" s="1489"/>
      <c r="L37" s="1489"/>
      <c r="M37" s="1489"/>
      <c r="N37" s="1489"/>
      <c r="O37" s="1489"/>
      <c r="P37" s="1489"/>
      <c r="Q37" s="1489"/>
      <c r="R37" s="1489"/>
      <c r="S37" s="1489"/>
      <c r="T37" s="1489"/>
      <c r="U37" s="1489"/>
      <c r="V37" s="1489"/>
      <c r="W37" s="1489"/>
      <c r="X37" s="1489"/>
      <c r="Y37" s="1489"/>
      <c r="Z37" s="1489"/>
      <c r="AA37" s="1489"/>
      <c r="AB37" s="1489"/>
      <c r="AC37" s="1489"/>
      <c r="AD37" s="1489"/>
      <c r="AE37" s="1489"/>
      <c r="AF37" s="1489"/>
      <c r="AG37" s="1489"/>
      <c r="AH37" s="1489"/>
      <c r="AI37" s="1489"/>
      <c r="AJ37" s="1489"/>
      <c r="AK37" s="1489"/>
      <c r="AL37" s="1489"/>
      <c r="AM37" s="1489"/>
      <c r="AN37" s="1489"/>
      <c r="AO37" s="1489"/>
      <c r="AP37" s="1489"/>
      <c r="AQ37" s="1489"/>
      <c r="AR37" s="1489"/>
      <c r="AS37" s="1489"/>
      <c r="AT37" s="1489"/>
      <c r="AU37" s="1489"/>
      <c r="AV37" s="1489"/>
      <c r="AW37" s="1489"/>
      <c r="AX37" s="1489"/>
      <c r="AY37" s="1489"/>
      <c r="AZ37" s="1489"/>
      <c r="BA37" s="1489"/>
      <c r="BB37" s="1489"/>
      <c r="BC37" s="1489"/>
      <c r="BD37" s="703"/>
    </row>
    <row r="38" spans="2:57" ht="1.5" customHeight="1">
      <c r="B38" s="981"/>
      <c r="C38" s="982"/>
      <c r="D38" s="983"/>
      <c r="E38" s="930"/>
      <c r="F38" s="930"/>
      <c r="G38" s="930"/>
      <c r="H38" s="930"/>
      <c r="I38" s="930"/>
      <c r="J38" s="930"/>
      <c r="K38" s="930"/>
      <c r="L38" s="930"/>
      <c r="M38" s="930"/>
      <c r="N38" s="930"/>
      <c r="O38" s="930"/>
      <c r="P38" s="930"/>
      <c r="Q38" s="930"/>
      <c r="R38" s="930"/>
      <c r="S38" s="930"/>
      <c r="T38" s="930"/>
      <c r="U38" s="930"/>
      <c r="V38" s="930"/>
      <c r="W38" s="930"/>
      <c r="X38" s="930"/>
      <c r="Y38" s="930"/>
      <c r="Z38" s="930"/>
      <c r="AA38" s="930"/>
      <c r="AB38" s="930"/>
      <c r="AC38" s="930"/>
      <c r="AD38" s="930"/>
      <c r="AE38" s="930"/>
      <c r="AF38" s="930"/>
      <c r="AG38" s="930"/>
      <c r="AH38" s="930"/>
      <c r="AI38" s="930"/>
      <c r="AJ38" s="930"/>
      <c r="AK38" s="930"/>
      <c r="AL38" s="930"/>
      <c r="AM38" s="930"/>
      <c r="AN38" s="930"/>
      <c r="AO38" s="930"/>
      <c r="AP38" s="930"/>
      <c r="AQ38" s="930"/>
      <c r="AR38" s="930"/>
      <c r="AS38" s="930"/>
      <c r="AT38" s="930"/>
      <c r="AU38" s="930"/>
      <c r="AV38" s="930"/>
      <c r="AW38" s="930"/>
      <c r="AX38" s="930"/>
      <c r="AY38" s="930"/>
      <c r="AZ38" s="930"/>
      <c r="BA38" s="930"/>
      <c r="BB38" s="930"/>
      <c r="BC38" s="930"/>
      <c r="BD38" s="936"/>
    </row>
    <row r="39" spans="2:57" ht="16.5" customHeight="1">
      <c r="B39" s="775"/>
      <c r="C39" s="775"/>
      <c r="D39" s="775"/>
      <c r="E39" s="775"/>
      <c r="F39" s="775"/>
      <c r="G39" s="775"/>
      <c r="H39" s="775"/>
      <c r="I39" s="775"/>
      <c r="J39" s="775"/>
      <c r="K39" s="775"/>
      <c r="L39" s="775"/>
      <c r="M39" s="775"/>
      <c r="N39" s="775"/>
      <c r="O39" s="775"/>
      <c r="P39" s="775"/>
      <c r="Q39" s="775"/>
      <c r="R39" s="775"/>
      <c r="S39" s="775"/>
      <c r="T39" s="775"/>
      <c r="U39" s="775"/>
      <c r="V39" s="775"/>
      <c r="W39" s="775"/>
      <c r="X39" s="775"/>
      <c r="Y39" s="775"/>
      <c r="Z39" s="775"/>
      <c r="AA39" s="775"/>
      <c r="AB39" s="775"/>
      <c r="AC39" s="775"/>
      <c r="AD39" s="775"/>
      <c r="AE39" s="775"/>
      <c r="AF39" s="775"/>
      <c r="AG39" s="775"/>
      <c r="AH39" s="775"/>
      <c r="AI39" s="775"/>
      <c r="AJ39" s="775"/>
      <c r="AK39" s="775"/>
      <c r="AL39" s="775"/>
      <c r="AM39" s="775"/>
      <c r="AN39" s="775"/>
      <c r="AO39" s="775"/>
      <c r="AP39" s="775"/>
      <c r="AQ39" s="775"/>
      <c r="AR39" s="775"/>
      <c r="AS39" s="775"/>
      <c r="AT39" s="775"/>
      <c r="AU39" s="775"/>
      <c r="AV39" s="775"/>
      <c r="AW39" s="775"/>
      <c r="AX39" s="775"/>
      <c r="AY39" s="775"/>
      <c r="AZ39" s="775"/>
      <c r="BA39" s="775"/>
      <c r="BB39" s="775"/>
      <c r="BC39" s="775"/>
      <c r="BD39" s="843" t="s">
        <v>938</v>
      </c>
      <c r="BE39" s="843"/>
    </row>
    <row r="40" spans="2:57" ht="13.5" customHeight="1">
      <c r="B40" s="984"/>
      <c r="C40" s="949"/>
      <c r="D40" s="901"/>
      <c r="E40" s="952"/>
      <c r="F40" s="952"/>
      <c r="G40" s="952"/>
      <c r="H40" s="952"/>
      <c r="I40" s="952"/>
      <c r="J40" s="952"/>
      <c r="K40" s="952"/>
      <c r="L40" s="952"/>
      <c r="M40" s="952"/>
      <c r="N40" s="952"/>
      <c r="O40" s="952"/>
      <c r="P40" s="952"/>
      <c r="Q40" s="952"/>
      <c r="R40" s="952"/>
      <c r="S40" s="952"/>
      <c r="T40" s="952"/>
      <c r="U40" s="952"/>
      <c r="V40" s="952"/>
      <c r="W40" s="952"/>
      <c r="X40" s="952"/>
      <c r="Y40" s="952"/>
      <c r="Z40" s="952"/>
      <c r="AA40" s="952"/>
      <c r="AB40" s="952"/>
      <c r="AC40" s="952"/>
      <c r="AD40" s="952"/>
      <c r="AE40" s="952"/>
      <c r="AF40" s="952"/>
      <c r="AG40" s="952"/>
      <c r="AH40" s="952"/>
      <c r="AI40" s="952"/>
      <c r="AJ40" s="952"/>
      <c r="AK40" s="952"/>
      <c r="AL40" s="952"/>
      <c r="AM40" s="952"/>
      <c r="AN40" s="952"/>
      <c r="AO40" s="952"/>
      <c r="AP40" s="952"/>
      <c r="AQ40" s="952"/>
      <c r="AR40" s="952"/>
      <c r="AS40" s="952"/>
      <c r="AT40" s="952"/>
      <c r="AU40" s="952"/>
      <c r="AV40" s="952"/>
      <c r="AW40" s="952"/>
      <c r="AX40" s="952"/>
      <c r="AY40" s="952"/>
      <c r="AZ40" s="952"/>
      <c r="BA40" s="952"/>
      <c r="BB40" s="952"/>
      <c r="BC40" s="952"/>
      <c r="BD40" s="943"/>
    </row>
    <row r="41" spans="2:57" ht="13.5" customHeight="1">
      <c r="B41" s="984"/>
      <c r="C41" s="949"/>
      <c r="D41" s="901"/>
      <c r="E41" s="952"/>
      <c r="F41" s="952"/>
      <c r="G41" s="952"/>
      <c r="H41" s="952"/>
      <c r="I41" s="952"/>
      <c r="J41" s="952"/>
      <c r="K41" s="952"/>
      <c r="L41" s="952"/>
      <c r="M41" s="952"/>
      <c r="N41" s="952"/>
      <c r="O41" s="952"/>
      <c r="P41" s="952"/>
      <c r="Q41" s="952"/>
      <c r="R41" s="952"/>
      <c r="S41" s="952"/>
      <c r="T41" s="952"/>
      <c r="U41" s="952"/>
      <c r="V41" s="952"/>
      <c r="W41" s="952"/>
      <c r="X41" s="952"/>
      <c r="Y41" s="952"/>
      <c r="Z41" s="952"/>
      <c r="AA41" s="952"/>
      <c r="AB41" s="952"/>
      <c r="AC41" s="952"/>
      <c r="AD41" s="952"/>
      <c r="AE41" s="952"/>
      <c r="AF41" s="952"/>
      <c r="AG41" s="952"/>
      <c r="AH41" s="952"/>
      <c r="AI41" s="952"/>
      <c r="AJ41" s="952"/>
      <c r="AK41" s="952"/>
      <c r="AL41" s="952"/>
      <c r="AM41" s="952"/>
      <c r="AN41" s="952"/>
      <c r="AO41" s="952"/>
      <c r="AP41" s="952"/>
      <c r="AQ41" s="952"/>
      <c r="AR41" s="952"/>
      <c r="AS41" s="952"/>
      <c r="AT41" s="952"/>
      <c r="AU41" s="952"/>
      <c r="AV41" s="952"/>
      <c r="AW41" s="952"/>
      <c r="AX41" s="952"/>
      <c r="AY41" s="952"/>
      <c r="AZ41" s="952"/>
      <c r="BA41" s="952"/>
      <c r="BB41" s="952"/>
      <c r="BC41" s="952"/>
      <c r="BD41" s="943"/>
    </row>
    <row r="42" spans="2:57" ht="68.25" customHeight="1">
      <c r="B42" s="684"/>
      <c r="C42" s="684"/>
      <c r="D42" s="684"/>
      <c r="E42" s="684"/>
      <c r="F42" s="684"/>
      <c r="G42" s="684"/>
      <c r="H42" s="684"/>
      <c r="I42" s="684"/>
      <c r="J42" s="684"/>
      <c r="K42" s="684"/>
      <c r="L42" s="684"/>
      <c r="M42" s="684"/>
      <c r="N42" s="684"/>
      <c r="O42" s="684"/>
      <c r="P42" s="684"/>
      <c r="Q42" s="684"/>
      <c r="R42" s="684"/>
      <c r="S42" s="684"/>
      <c r="T42" s="684"/>
      <c r="U42" s="684"/>
      <c r="V42" s="684"/>
      <c r="W42" s="684"/>
      <c r="X42" s="684"/>
      <c r="Y42" s="684"/>
      <c r="Z42" s="684"/>
      <c r="AA42" s="684"/>
      <c r="AB42" s="684"/>
      <c r="AC42" s="684"/>
      <c r="AD42" s="684"/>
      <c r="AE42" s="684"/>
      <c r="AF42" s="684"/>
      <c r="AG42" s="684"/>
      <c r="AH42" s="684"/>
      <c r="AI42" s="684"/>
      <c r="AJ42" s="684"/>
      <c r="AK42" s="684"/>
      <c r="AL42" s="684"/>
      <c r="AM42" s="684"/>
      <c r="AN42" s="684"/>
      <c r="AO42" s="684"/>
      <c r="AP42" s="684"/>
      <c r="AQ42" s="684"/>
      <c r="AR42" s="684"/>
      <c r="AS42" s="684"/>
      <c r="AT42" s="684"/>
      <c r="AU42" s="684"/>
      <c r="AV42" s="684"/>
      <c r="AW42" s="684"/>
      <c r="AX42" s="684"/>
      <c r="AY42" s="684"/>
      <c r="AZ42" s="684"/>
      <c r="BA42" s="684"/>
      <c r="BB42" s="684"/>
      <c r="BC42" s="684"/>
      <c r="BD42" s="684"/>
    </row>
    <row r="43" spans="2:57">
      <c r="B43" s="684"/>
      <c r="C43" s="684"/>
      <c r="D43" s="684"/>
      <c r="E43" s="684"/>
      <c r="F43" s="684"/>
      <c r="G43" s="684"/>
      <c r="H43" s="684"/>
      <c r="I43" s="684"/>
      <c r="J43" s="684"/>
      <c r="K43" s="684"/>
      <c r="L43" s="684"/>
      <c r="M43" s="684"/>
      <c r="N43" s="684"/>
      <c r="O43" s="684"/>
      <c r="P43" s="684"/>
      <c r="Q43" s="684"/>
      <c r="R43" s="684"/>
      <c r="S43" s="684"/>
      <c r="T43" s="684"/>
      <c r="U43" s="684"/>
      <c r="V43" s="684"/>
      <c r="W43" s="684"/>
      <c r="X43" s="684"/>
      <c r="Y43" s="684"/>
      <c r="Z43" s="684"/>
      <c r="AA43" s="684"/>
      <c r="AB43" s="684"/>
      <c r="AC43" s="684"/>
      <c r="AD43" s="684"/>
      <c r="AE43" s="684"/>
      <c r="AF43" s="684"/>
      <c r="AG43" s="684"/>
      <c r="AH43" s="684"/>
      <c r="AI43" s="684"/>
      <c r="AJ43" s="684"/>
      <c r="AK43" s="684"/>
      <c r="AL43" s="684"/>
      <c r="AM43" s="684"/>
      <c r="AN43" s="684"/>
      <c r="AO43" s="684"/>
      <c r="AP43" s="684"/>
      <c r="AQ43" s="684"/>
      <c r="AR43" s="684"/>
      <c r="AS43" s="684"/>
      <c r="AT43" s="684"/>
      <c r="AU43" s="684"/>
      <c r="AV43" s="684"/>
      <c r="AW43" s="684"/>
      <c r="AX43" s="684"/>
      <c r="AY43" s="684"/>
      <c r="AZ43" s="684"/>
      <c r="BA43" s="684"/>
      <c r="BB43" s="684"/>
      <c r="BC43" s="684"/>
      <c r="BD43" s="684"/>
    </row>
    <row r="44" spans="2:57">
      <c r="B44" s="684"/>
      <c r="C44" s="684"/>
      <c r="D44" s="684"/>
      <c r="E44" s="684"/>
      <c r="F44" s="684"/>
      <c r="G44" s="684"/>
      <c r="H44" s="684"/>
      <c r="I44" s="684"/>
      <c r="J44" s="684"/>
      <c r="K44" s="684"/>
      <c r="L44" s="684"/>
      <c r="M44" s="684"/>
      <c r="N44" s="684"/>
      <c r="O44" s="684"/>
      <c r="P44" s="684"/>
      <c r="Q44" s="684"/>
      <c r="R44" s="684"/>
      <c r="S44" s="684"/>
      <c r="T44" s="684"/>
      <c r="U44" s="684"/>
      <c r="V44" s="684"/>
      <c r="W44" s="684"/>
      <c r="X44" s="684"/>
      <c r="Y44" s="684"/>
      <c r="Z44" s="684"/>
      <c r="AA44" s="684"/>
      <c r="AB44" s="684"/>
      <c r="AC44" s="684"/>
      <c r="AD44" s="684"/>
      <c r="AE44" s="684"/>
      <c r="AF44" s="684"/>
      <c r="AG44" s="684"/>
      <c r="AH44" s="684"/>
      <c r="AI44" s="684"/>
      <c r="AJ44" s="684"/>
      <c r="AK44" s="684"/>
      <c r="AL44" s="684"/>
      <c r="AM44" s="684"/>
      <c r="AN44" s="684"/>
      <c r="AO44" s="684"/>
      <c r="AP44" s="684"/>
      <c r="AQ44" s="684"/>
      <c r="AR44" s="684"/>
      <c r="AS44" s="684"/>
      <c r="AT44" s="684"/>
      <c r="AU44" s="684"/>
      <c r="AV44" s="684"/>
      <c r="AW44" s="684"/>
      <c r="AX44" s="684"/>
      <c r="AY44" s="684"/>
      <c r="AZ44" s="684"/>
      <c r="BA44" s="684"/>
      <c r="BB44" s="684"/>
      <c r="BC44" s="684"/>
      <c r="BD44" s="684"/>
    </row>
    <row r="45" spans="2:57" ht="15.75" customHeight="1">
      <c r="B45" s="684"/>
      <c r="C45" s="684"/>
      <c r="D45" s="684"/>
      <c r="E45" s="684"/>
      <c r="F45" s="684"/>
      <c r="G45" s="684"/>
      <c r="H45" s="684"/>
      <c r="I45" s="684"/>
      <c r="J45" s="684"/>
      <c r="K45" s="684"/>
      <c r="L45" s="684"/>
      <c r="M45" s="684"/>
      <c r="N45" s="684"/>
      <c r="O45" s="684"/>
      <c r="P45" s="684"/>
      <c r="Q45" s="684"/>
      <c r="R45" s="684"/>
      <c r="S45" s="684"/>
      <c r="T45" s="684"/>
      <c r="U45" s="684"/>
      <c r="V45" s="684"/>
      <c r="W45" s="684"/>
      <c r="X45" s="684"/>
      <c r="Y45" s="684"/>
      <c r="Z45" s="684"/>
      <c r="AA45" s="684"/>
      <c r="AB45" s="684"/>
      <c r="AC45" s="684"/>
      <c r="AD45" s="684"/>
      <c r="AE45" s="684"/>
      <c r="AF45" s="684"/>
      <c r="AG45" s="684"/>
      <c r="AH45" s="684"/>
      <c r="AI45" s="684"/>
      <c r="AJ45" s="684"/>
      <c r="AK45" s="684"/>
      <c r="AL45" s="684"/>
      <c r="AM45" s="684"/>
      <c r="AN45" s="684"/>
      <c r="AO45" s="684"/>
      <c r="AP45" s="684"/>
      <c r="AQ45" s="684"/>
      <c r="AR45" s="684"/>
      <c r="AS45" s="684"/>
      <c r="AT45" s="684"/>
      <c r="AU45" s="684"/>
      <c r="AV45" s="684"/>
      <c r="AW45" s="684"/>
      <c r="AX45" s="684"/>
      <c r="AY45" s="684"/>
      <c r="AZ45" s="684"/>
      <c r="BA45" s="684"/>
      <c r="BB45" s="684"/>
      <c r="BC45" s="684"/>
      <c r="BD45" s="684"/>
    </row>
    <row r="46" spans="2:57" ht="27.75" customHeight="1">
      <c r="B46" s="684"/>
      <c r="C46" s="684"/>
      <c r="D46" s="684"/>
      <c r="E46" s="684"/>
      <c r="F46" s="684"/>
      <c r="G46" s="684"/>
      <c r="H46" s="684"/>
      <c r="I46" s="684"/>
      <c r="J46" s="684"/>
      <c r="K46" s="684"/>
      <c r="L46" s="684"/>
      <c r="M46" s="684"/>
      <c r="N46" s="684"/>
      <c r="O46" s="684"/>
      <c r="P46" s="684"/>
      <c r="Q46" s="684"/>
      <c r="R46" s="684"/>
      <c r="S46" s="684"/>
      <c r="T46" s="684"/>
      <c r="U46" s="684"/>
      <c r="V46" s="684"/>
      <c r="W46" s="684"/>
      <c r="X46" s="684"/>
      <c r="Y46" s="684"/>
      <c r="Z46" s="684"/>
      <c r="AA46" s="684"/>
      <c r="AB46" s="684"/>
      <c r="AC46" s="684"/>
      <c r="AD46" s="684"/>
      <c r="AE46" s="684"/>
      <c r="AF46" s="684"/>
      <c r="AG46" s="684"/>
      <c r="AH46" s="684"/>
      <c r="AI46" s="684"/>
      <c r="AJ46" s="684"/>
      <c r="AK46" s="684"/>
      <c r="AL46" s="684"/>
      <c r="AM46" s="684"/>
      <c r="AN46" s="684"/>
      <c r="AO46" s="684"/>
      <c r="AP46" s="684"/>
      <c r="AQ46" s="684"/>
      <c r="AR46" s="684"/>
      <c r="AS46" s="684"/>
      <c r="AT46" s="684"/>
      <c r="AU46" s="684"/>
      <c r="AV46" s="684"/>
      <c r="AW46" s="684"/>
      <c r="AX46" s="684"/>
      <c r="AY46" s="684"/>
      <c r="AZ46" s="684"/>
      <c r="BA46" s="684"/>
      <c r="BB46" s="684"/>
      <c r="BC46" s="684"/>
      <c r="BD46" s="684"/>
    </row>
    <row r="47" spans="2:57">
      <c r="B47" s="684"/>
      <c r="C47" s="684"/>
      <c r="D47" s="684"/>
      <c r="E47" s="684"/>
      <c r="F47" s="684"/>
      <c r="G47" s="684"/>
      <c r="H47" s="684"/>
      <c r="I47" s="684"/>
      <c r="J47" s="684"/>
      <c r="K47" s="684"/>
      <c r="L47" s="684"/>
      <c r="M47" s="684"/>
      <c r="N47" s="684"/>
      <c r="O47" s="684"/>
      <c r="P47" s="684"/>
      <c r="Q47" s="684"/>
      <c r="R47" s="684"/>
      <c r="S47" s="684"/>
      <c r="T47" s="684"/>
      <c r="U47" s="684"/>
      <c r="V47" s="684"/>
      <c r="W47" s="684"/>
      <c r="X47" s="684"/>
      <c r="Y47" s="684"/>
      <c r="Z47" s="684"/>
      <c r="AA47" s="684"/>
      <c r="AB47" s="684"/>
      <c r="AC47" s="684"/>
      <c r="AD47" s="684"/>
      <c r="AE47" s="684"/>
      <c r="AF47" s="684"/>
      <c r="AG47" s="684"/>
      <c r="AH47" s="684"/>
      <c r="AI47" s="684"/>
      <c r="AJ47" s="684"/>
      <c r="AK47" s="684"/>
      <c r="AL47" s="684"/>
      <c r="AM47" s="684"/>
      <c r="AN47" s="684"/>
      <c r="AO47" s="684"/>
      <c r="AP47" s="684"/>
      <c r="AQ47" s="684"/>
      <c r="AR47" s="684"/>
      <c r="AS47" s="684"/>
      <c r="AT47" s="684"/>
      <c r="AU47" s="684"/>
      <c r="AV47" s="684"/>
      <c r="AW47" s="684"/>
      <c r="AX47" s="684"/>
      <c r="AY47" s="684"/>
      <c r="AZ47" s="684"/>
      <c r="BA47" s="684"/>
      <c r="BB47" s="684"/>
      <c r="BC47" s="684"/>
      <c r="BD47" s="684"/>
    </row>
    <row r="48" spans="2:57" ht="9" customHeight="1">
      <c r="B48" s="775"/>
      <c r="C48" s="775"/>
      <c r="D48" s="775"/>
      <c r="E48" s="775"/>
      <c r="F48" s="775"/>
      <c r="G48" s="775"/>
      <c r="H48" s="775"/>
      <c r="I48" s="775"/>
      <c r="J48" s="775"/>
      <c r="K48" s="775"/>
      <c r="L48" s="775"/>
      <c r="M48" s="775"/>
      <c r="N48" s="775"/>
      <c r="O48" s="775"/>
      <c r="P48" s="775"/>
      <c r="Q48" s="775"/>
      <c r="R48" s="775"/>
      <c r="S48" s="775"/>
      <c r="T48" s="775"/>
      <c r="U48" s="775"/>
      <c r="V48" s="775"/>
      <c r="W48" s="775"/>
      <c r="X48" s="775"/>
      <c r="Y48" s="775"/>
      <c r="Z48" s="775"/>
      <c r="AA48" s="775"/>
      <c r="AB48" s="775"/>
      <c r="AC48" s="775"/>
      <c r="AD48" s="775"/>
      <c r="AE48" s="775"/>
      <c r="AF48" s="775"/>
      <c r="AG48" s="775"/>
      <c r="AH48" s="775"/>
      <c r="AI48" s="775"/>
      <c r="AJ48" s="775"/>
      <c r="AK48" s="775"/>
      <c r="AL48" s="775"/>
      <c r="AM48" s="775"/>
      <c r="AN48" s="775"/>
      <c r="AO48" s="775"/>
      <c r="AP48" s="775"/>
      <c r="AQ48" s="775"/>
      <c r="AR48" s="775"/>
      <c r="AS48" s="775"/>
      <c r="AT48" s="775"/>
      <c r="AU48" s="775"/>
      <c r="AV48" s="775"/>
      <c r="AW48" s="775"/>
      <c r="AX48" s="775"/>
      <c r="AY48" s="775"/>
      <c r="AZ48" s="775"/>
      <c r="BA48" s="775"/>
      <c r="BB48" s="775"/>
      <c r="BC48" s="775"/>
      <c r="BD48" s="911"/>
    </row>
    <row r="49" spans="2:56" ht="23.25" customHeight="1">
      <c r="B49" s="775"/>
      <c r="C49" s="775"/>
      <c r="D49" s="775"/>
      <c r="E49" s="775"/>
      <c r="F49" s="775"/>
      <c r="G49" s="775"/>
      <c r="H49" s="775"/>
      <c r="I49" s="775"/>
      <c r="J49" s="775"/>
      <c r="K49" s="775"/>
      <c r="L49" s="775"/>
      <c r="M49" s="775"/>
      <c r="N49" s="775"/>
      <c r="O49" s="775"/>
      <c r="P49" s="775"/>
      <c r="Q49" s="775"/>
      <c r="R49" s="775"/>
      <c r="S49" s="775"/>
      <c r="T49" s="775"/>
      <c r="U49" s="775"/>
      <c r="V49" s="775"/>
      <c r="W49" s="775"/>
      <c r="X49" s="775"/>
      <c r="Y49" s="775"/>
      <c r="Z49" s="775"/>
      <c r="AA49" s="775"/>
      <c r="AB49" s="775"/>
      <c r="AC49" s="775"/>
      <c r="AD49" s="775"/>
      <c r="AE49" s="775"/>
      <c r="AF49" s="775"/>
      <c r="AG49" s="775"/>
      <c r="AH49" s="775"/>
      <c r="AI49" s="775"/>
      <c r="AJ49" s="775"/>
      <c r="AK49" s="775"/>
      <c r="AL49" s="775"/>
      <c r="AM49" s="775"/>
      <c r="AN49" s="775"/>
      <c r="AO49" s="775"/>
      <c r="AP49" s="775"/>
      <c r="AQ49" s="775"/>
      <c r="AR49" s="775"/>
      <c r="AS49" s="775"/>
      <c r="AT49" s="775"/>
      <c r="AU49" s="775"/>
      <c r="AV49" s="775"/>
      <c r="AW49" s="775"/>
      <c r="AX49" s="775"/>
      <c r="AY49" s="775"/>
      <c r="AZ49" s="775"/>
      <c r="BA49" s="775"/>
      <c r="BB49" s="775"/>
      <c r="BC49" s="775"/>
      <c r="BD49" s="843"/>
    </row>
  </sheetData>
  <sheetProtection algorithmName="SHA-512" hashValue="1PZV3nKq9brT9xvGaqgD3qutCUCjDnW9dfaSuxdTJOq56VM6ybVVMJ5obHrkC/VY5S07gwff7tsKCIyd4DDa3w==" saltValue="ursdOtCorGZNchDTBE3/PA==" spinCount="100000" sheet="1" objects="1" scenarios="1"/>
  <mergeCells count="33">
    <mergeCell ref="AG16:AW16"/>
    <mergeCell ref="BH18:BJ21"/>
    <mergeCell ref="C20:BC20"/>
    <mergeCell ref="C22:BC22"/>
    <mergeCell ref="BH22:BJ22"/>
    <mergeCell ref="BH13:BI13"/>
    <mergeCell ref="E14:U14"/>
    <mergeCell ref="V14:AJ14"/>
    <mergeCell ref="AL14:BA14"/>
    <mergeCell ref="I15:Y15"/>
    <mergeCell ref="AG15:AW15"/>
    <mergeCell ref="B6:C6"/>
    <mergeCell ref="D6:BC6"/>
    <mergeCell ref="B7:C7"/>
    <mergeCell ref="D7:BC7"/>
    <mergeCell ref="B8:C8"/>
    <mergeCell ref="D8:BC8"/>
    <mergeCell ref="C11:BC11"/>
    <mergeCell ref="C12:BC12"/>
    <mergeCell ref="B37:C37"/>
    <mergeCell ref="E30:BC30"/>
    <mergeCell ref="E31:BC31"/>
    <mergeCell ref="E32:BC32"/>
    <mergeCell ref="D35:BC35"/>
    <mergeCell ref="D36:BC36"/>
    <mergeCell ref="D37:BC37"/>
    <mergeCell ref="E29:BC29"/>
    <mergeCell ref="E33:BC33"/>
    <mergeCell ref="D34:BC34"/>
    <mergeCell ref="F13:T13"/>
    <mergeCell ref="D27:T27"/>
    <mergeCell ref="AN28:BA28"/>
    <mergeCell ref="I16:Y16"/>
  </mergeCells>
  <conditionalFormatting sqref="G2">
    <cfRule type="containsText" dxfId="31" priority="1" operator="containsText" text="O.K.">
      <formula>NOT(ISERROR(SEARCH("O.K.",G2)))</formula>
    </cfRule>
  </conditionalFormatting>
  <printOptions horizontalCentered="1"/>
  <pageMargins left="0.11811023622047245" right="0.11811023622047245" top="0.31496062992125984" bottom="0.11811023622047245" header="0" footer="0"/>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699" r:id="rId4" name="Check Box 3">
              <controlPr defaultSize="0" autoFill="0" autoLine="0" autoPict="0">
                <anchor moveWithCells="1">
                  <from>
                    <xdr:col>2</xdr:col>
                    <xdr:colOff>152400</xdr:colOff>
                    <xdr:row>22</xdr:row>
                    <xdr:rowOff>106680</xdr:rowOff>
                  </from>
                  <to>
                    <xdr:col>4</xdr:col>
                    <xdr:colOff>106680</xdr:colOff>
                    <xdr:row>25</xdr:row>
                    <xdr:rowOff>0</xdr:rowOff>
                  </to>
                </anchor>
              </controlPr>
            </control>
          </mc:Choice>
        </mc:AlternateContent>
        <mc:AlternateContent xmlns:mc="http://schemas.openxmlformats.org/markup-compatibility/2006">
          <mc:Choice Requires="x14">
            <control shapeId="29700" r:id="rId5" name="Check Box 4">
              <controlPr defaultSize="0" autoFill="0" autoLine="0" autoPict="0">
                <anchor moveWithCells="1">
                  <from>
                    <xdr:col>11</xdr:col>
                    <xdr:colOff>76200</xdr:colOff>
                    <xdr:row>22</xdr:row>
                    <xdr:rowOff>114300</xdr:rowOff>
                  </from>
                  <to>
                    <xdr:col>14</xdr:col>
                    <xdr:colOff>7620</xdr:colOff>
                    <xdr:row>24</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8" stopIfTrue="1" id="{628F0507-6C1E-42E9-90DE-AA1F7B285DA4}">
            <xm:f>PZ_5!$BG$20&lt;&gt;""</xm:f>
            <x14:dxf>
              <fill>
                <patternFill>
                  <bgColor theme="0" tint="-0.24994659260841701"/>
                </patternFill>
              </fill>
            </x14:dxf>
          </x14:cfRule>
          <xm:sqref>E14:U14</xm:sqref>
        </x14:conditionalFormatting>
        <x14:conditionalFormatting xmlns:xm="http://schemas.microsoft.com/office/excel/2006/main">
          <x14:cfRule type="expression" priority="7" id="{718FF7CA-E5A4-4AB1-AB98-03F32C51E632}">
            <xm:f>PZ_5!F11&lt;&gt;""</xm:f>
            <x14:dxf>
              <fill>
                <patternFill>
                  <bgColor theme="0"/>
                </patternFill>
              </fill>
            </x14:dxf>
          </x14:cfRule>
          <xm:sqref>F13:T13</xm:sqref>
        </x14:conditionalFormatting>
        <x14:conditionalFormatting xmlns:xm="http://schemas.microsoft.com/office/excel/2006/main">
          <x14:cfRule type="expression" priority="6" id="{E5B5425B-30A7-4121-83F2-42144AEBBB2C}">
            <xm:f>PZ_5!F11&lt;&gt;""</xm:f>
            <x14:dxf>
              <fill>
                <patternFill>
                  <bgColor theme="9" tint="0.39994506668294322"/>
                </patternFill>
              </fill>
            </x14:dxf>
          </x14:cfRule>
          <xm:sqref>BJ13</xm:sqref>
        </x14:conditionalFormatting>
        <x14:conditionalFormatting xmlns:xm="http://schemas.microsoft.com/office/excel/2006/main">
          <x14:cfRule type="expression" priority="5" id="{DE52138D-8205-425B-8376-368257DBB0C3}">
            <xm:f>PZ_5!$I$12=""</xm:f>
            <x14:dxf>
              <fill>
                <patternFill>
                  <bgColor theme="0" tint="-0.24994659260841701"/>
                </patternFill>
              </fill>
            </x14:dxf>
          </x14:cfRule>
          <xm:sqref>I15</xm:sqref>
        </x14:conditionalFormatting>
        <x14:conditionalFormatting xmlns:xm="http://schemas.microsoft.com/office/excel/2006/main">
          <x14:cfRule type="expression" priority="53" stopIfTrue="1" id="{A0F46912-4CDE-4B76-BBAF-E81F21E05177}">
            <xm:f>PZ_5!#REF!&lt;&gt;""</xm:f>
            <x14:dxf>
              <fill>
                <patternFill>
                  <bgColor theme="0" tint="-0.24994659260841701"/>
                </patternFill>
              </fill>
            </x14:dxf>
          </x14:cfRule>
          <xm:sqref>D27:T27</xm:sqref>
        </x14:conditionalFormatting>
        <x14:conditionalFormatting xmlns:xm="http://schemas.microsoft.com/office/excel/2006/main">
          <x14:cfRule type="expression" priority="54" stopIfTrue="1" id="{BE96370C-BBD1-4106-9D70-03AC12AE7EF5}">
            <xm:f>PZ_5!#REF!&lt;&gt;""</xm:f>
            <x14:dxf>
              <font>
                <b/>
                <i val="0"/>
                <color rgb="FFC00000"/>
              </font>
              <fill>
                <patternFill>
                  <bgColor theme="9" tint="0.59996337778862885"/>
                </patternFill>
              </fill>
              <border>
                <left style="thin">
                  <color rgb="FFC00000"/>
                </left>
                <right style="thin">
                  <color rgb="FFC00000"/>
                </right>
                <top style="thin">
                  <color rgb="FFC00000"/>
                </top>
                <bottom/>
                <vertical/>
                <horizontal/>
              </border>
            </x14:dxf>
          </x14:cfRule>
          <xm:sqref>BH18:BJ21</xm:sqref>
        </x14:conditionalFormatting>
        <x14:conditionalFormatting xmlns:xm="http://schemas.microsoft.com/office/excel/2006/main">
          <x14:cfRule type="expression" priority="55" stopIfTrue="1" id="{81EE1357-510D-4979-BA99-F8ED56091EE3}">
            <xm:f>PZ_5!#REF!&lt;&gt;""</xm:f>
            <x14:dxf>
              <font>
                <b/>
                <i val="0"/>
                <color rgb="FFC00000"/>
              </font>
              <fill>
                <patternFill>
                  <bgColor theme="9" tint="0.59996337778862885"/>
                </patternFill>
              </fill>
              <border>
                <left style="thin">
                  <color rgb="FFC00000"/>
                </left>
                <right style="thin">
                  <color rgb="FFC00000"/>
                </right>
                <top/>
                <bottom style="thin">
                  <color rgb="FFC00000"/>
                </bottom>
                <vertical/>
                <horizontal/>
              </border>
            </x14:dxf>
          </x14:cfRule>
          <xm:sqref>BH22:BJ22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árok8">
    <tabColor rgb="FFC00000"/>
  </sheetPr>
  <dimension ref="A1:BQ27"/>
  <sheetViews>
    <sheetView zoomScale="110" zoomScaleNormal="110" workbookViewId="0">
      <pane ySplit="4" topLeftCell="A5" activePane="bottomLeft" state="frozen"/>
      <selection activeCell="D17" sqref="D17:BC18"/>
      <selection pane="bottomLeft" activeCell="C8" sqref="C8:BC8"/>
    </sheetView>
  </sheetViews>
  <sheetFormatPr defaultColWidth="9.109375" defaultRowHeight="13.8"/>
  <cols>
    <col min="1" max="1" width="3.6640625" style="944" customWidth="1"/>
    <col min="2" max="2" width="0.6640625" style="944" customWidth="1"/>
    <col min="3" max="55" width="1.88671875" style="944" customWidth="1"/>
    <col min="56" max="56" width="0.6640625" style="944" customWidth="1"/>
    <col min="57" max="57" width="7.6640625" style="944" customWidth="1"/>
    <col min="58" max="59" width="7.6640625" style="1021" hidden="1" customWidth="1"/>
    <col min="60" max="60" width="7.6640625" style="995" customWidth="1"/>
    <col min="61" max="61" width="7.6640625" style="944" customWidth="1"/>
    <col min="62" max="16384" width="9.109375" style="944"/>
  </cols>
  <sheetData>
    <row r="1" spans="1:69">
      <c r="BF1" s="1021" t="b">
        <v>0</v>
      </c>
    </row>
    <row r="2" spans="1:69" ht="18">
      <c r="J2" s="1010" t="str">
        <f>IF(SUM(COUNTBLANK(BH10:BH13),COUNTBLANK(BH16:BH25))&lt;14,"CHYBA!","O.K.")</f>
        <v>CHYBA!</v>
      </c>
    </row>
    <row r="3" spans="1:69">
      <c r="J3" s="1006" t="str">
        <f>IF(SUM(COUNTBLANK(BH10:BH13),COUNTBLANK(BH16:BH25))&lt;18,"CHYBA!","O.K.")</f>
        <v>CHYBA!</v>
      </c>
    </row>
    <row r="5" spans="1:69" ht="18.75" customHeight="1" thickBot="1"/>
    <row r="6" spans="1:69" ht="17.25" customHeight="1" thickBot="1">
      <c r="A6" s="722"/>
      <c r="B6" s="1202"/>
      <c r="C6" s="1205" t="s">
        <v>856</v>
      </c>
      <c r="D6" s="817"/>
      <c r="E6" s="817"/>
      <c r="F6" s="817"/>
      <c r="G6" s="817"/>
      <c r="H6" s="817"/>
      <c r="I6" s="817"/>
      <c r="J6" s="817"/>
      <c r="K6" s="817"/>
      <c r="L6" s="817"/>
      <c r="M6" s="817"/>
      <c r="N6" s="817"/>
      <c r="O6" s="817"/>
      <c r="P6" s="817"/>
      <c r="Q6" s="817"/>
      <c r="R6" s="817"/>
      <c r="S6" s="817"/>
      <c r="T6" s="817"/>
      <c r="U6" s="817"/>
      <c r="V6" s="817"/>
      <c r="W6" s="817"/>
      <c r="X6" s="817"/>
      <c r="Y6" s="817"/>
      <c r="Z6" s="817"/>
      <c r="AA6" s="817"/>
      <c r="AB6" s="817"/>
      <c r="AC6" s="817"/>
      <c r="AD6" s="817"/>
      <c r="AE6" s="817"/>
      <c r="AF6" s="817"/>
      <c r="AG6" s="817"/>
      <c r="AH6" s="817"/>
      <c r="AI6" s="817"/>
      <c r="AJ6" s="817"/>
      <c r="AK6" s="817"/>
      <c r="AL6" s="817"/>
      <c r="AM6" s="817"/>
      <c r="AN6" s="817"/>
      <c r="AO6" s="817"/>
      <c r="AP6" s="817"/>
      <c r="AQ6" s="817"/>
      <c r="AR6" s="817"/>
      <c r="AS6" s="817"/>
      <c r="AT6" s="817"/>
      <c r="AU6" s="817"/>
      <c r="AV6" s="817"/>
      <c r="AW6" s="817"/>
      <c r="AX6" s="817"/>
      <c r="AY6" s="817"/>
      <c r="AZ6" s="817"/>
      <c r="BA6" s="817"/>
      <c r="BB6" s="817"/>
      <c r="BC6" s="817"/>
      <c r="BD6" s="953"/>
      <c r="BH6" s="1206"/>
      <c r="BI6" s="1207"/>
      <c r="BJ6" s="1207"/>
      <c r="BK6" s="1207"/>
    </row>
    <row r="7" spans="1:69" ht="42" customHeight="1">
      <c r="B7" s="969"/>
      <c r="C7" s="1523" t="s">
        <v>943</v>
      </c>
      <c r="D7" s="1523"/>
      <c r="E7" s="1523"/>
      <c r="F7" s="1523"/>
      <c r="G7" s="1523"/>
      <c r="H7" s="1523"/>
      <c r="I7" s="1523"/>
      <c r="J7" s="1523"/>
      <c r="K7" s="1523"/>
      <c r="L7" s="1523"/>
      <c r="M7" s="1523"/>
      <c r="N7" s="1523"/>
      <c r="O7" s="1523"/>
      <c r="P7" s="1523"/>
      <c r="Q7" s="1523"/>
      <c r="R7" s="1523"/>
      <c r="S7" s="1523"/>
      <c r="T7" s="1523"/>
      <c r="U7" s="1523"/>
      <c r="V7" s="1523"/>
      <c r="W7" s="1523"/>
      <c r="X7" s="1523"/>
      <c r="Y7" s="1523"/>
      <c r="Z7" s="1523"/>
      <c r="AA7" s="1523"/>
      <c r="AB7" s="1523"/>
      <c r="AC7" s="1523"/>
      <c r="AD7" s="1523"/>
      <c r="AE7" s="1523"/>
      <c r="AF7" s="1523"/>
      <c r="AG7" s="1523"/>
      <c r="AH7" s="1523"/>
      <c r="AI7" s="1523"/>
      <c r="AJ7" s="1523"/>
      <c r="AK7" s="1523"/>
      <c r="AL7" s="1523"/>
      <c r="AM7" s="1523"/>
      <c r="AN7" s="1523"/>
      <c r="AO7" s="1523"/>
      <c r="AP7" s="1523"/>
      <c r="AQ7" s="1523"/>
      <c r="AR7" s="1523"/>
      <c r="AS7" s="1523"/>
      <c r="AT7" s="1523"/>
      <c r="AU7" s="1523"/>
      <c r="AV7" s="1523"/>
      <c r="AW7" s="1523"/>
      <c r="AX7" s="1523"/>
      <c r="AY7" s="1523"/>
      <c r="AZ7" s="1523"/>
      <c r="BA7" s="1523"/>
      <c r="BB7" s="1523"/>
      <c r="BC7" s="1523"/>
      <c r="BD7" s="964"/>
    </row>
    <row r="8" spans="1:69" ht="39.75" customHeight="1">
      <c r="B8" s="959"/>
      <c r="C8" s="1485" t="s">
        <v>928</v>
      </c>
      <c r="D8" s="1485"/>
      <c r="E8" s="1485"/>
      <c r="F8" s="1485"/>
      <c r="G8" s="1485"/>
      <c r="H8" s="1485"/>
      <c r="I8" s="1485"/>
      <c r="J8" s="1485"/>
      <c r="K8" s="1485"/>
      <c r="L8" s="1485"/>
      <c r="M8" s="1485"/>
      <c r="N8" s="1485"/>
      <c r="O8" s="1485"/>
      <c r="P8" s="1485"/>
      <c r="Q8" s="1485"/>
      <c r="R8" s="1485"/>
      <c r="S8" s="1485"/>
      <c r="T8" s="1485"/>
      <c r="U8" s="1485"/>
      <c r="V8" s="1485"/>
      <c r="W8" s="1485"/>
      <c r="X8" s="1485"/>
      <c r="Y8" s="1485"/>
      <c r="Z8" s="1485"/>
      <c r="AA8" s="1485"/>
      <c r="AB8" s="1485"/>
      <c r="AC8" s="1485"/>
      <c r="AD8" s="1485"/>
      <c r="AE8" s="1485"/>
      <c r="AF8" s="1485"/>
      <c r="AG8" s="1485"/>
      <c r="AH8" s="1485"/>
      <c r="AI8" s="1485"/>
      <c r="AJ8" s="1485"/>
      <c r="AK8" s="1485"/>
      <c r="AL8" s="1485"/>
      <c r="AM8" s="1485"/>
      <c r="AN8" s="1485"/>
      <c r="AO8" s="1485"/>
      <c r="AP8" s="1485"/>
      <c r="AQ8" s="1485"/>
      <c r="AR8" s="1485"/>
      <c r="AS8" s="1485"/>
      <c r="AT8" s="1485"/>
      <c r="AU8" s="1485"/>
      <c r="AV8" s="1485"/>
      <c r="AW8" s="1485"/>
      <c r="AX8" s="1485"/>
      <c r="AY8" s="1485"/>
      <c r="AZ8" s="1485"/>
      <c r="BA8" s="1485"/>
      <c r="BB8" s="1485"/>
      <c r="BC8" s="1485"/>
      <c r="BD8" s="961"/>
    </row>
    <row r="9" spans="1:69" ht="42.6" customHeight="1">
      <c r="B9" s="959"/>
      <c r="C9" s="1485" t="s">
        <v>962</v>
      </c>
      <c r="D9" s="1485"/>
      <c r="E9" s="1485"/>
      <c r="F9" s="1485"/>
      <c r="G9" s="1485"/>
      <c r="H9" s="1485"/>
      <c r="I9" s="1485"/>
      <c r="J9" s="1485"/>
      <c r="K9" s="1485"/>
      <c r="L9" s="1485"/>
      <c r="M9" s="1485"/>
      <c r="N9" s="1485"/>
      <c r="O9" s="1485"/>
      <c r="P9" s="1485"/>
      <c r="Q9" s="1485"/>
      <c r="R9" s="1485"/>
      <c r="S9" s="1485"/>
      <c r="T9" s="1485"/>
      <c r="U9" s="1485"/>
      <c r="V9" s="1485"/>
      <c r="W9" s="1485"/>
      <c r="X9" s="1485"/>
      <c r="Y9" s="1485"/>
      <c r="Z9" s="1485"/>
      <c r="AA9" s="1485"/>
      <c r="AB9" s="1485"/>
      <c r="AC9" s="1485"/>
      <c r="AD9" s="1485"/>
      <c r="AE9" s="1485"/>
      <c r="AF9" s="1485"/>
      <c r="AG9" s="1485"/>
      <c r="AH9" s="1485"/>
      <c r="AI9" s="1485"/>
      <c r="AJ9" s="1485"/>
      <c r="AK9" s="1485"/>
      <c r="AL9" s="1485"/>
      <c r="AM9" s="1485"/>
      <c r="AN9" s="1485"/>
      <c r="AO9" s="1485"/>
      <c r="AP9" s="1485"/>
      <c r="AQ9" s="1485"/>
      <c r="AR9" s="1485"/>
      <c r="AS9" s="1485"/>
      <c r="AT9" s="1485"/>
      <c r="AU9" s="1485"/>
      <c r="AV9" s="1485"/>
      <c r="AW9" s="1485"/>
      <c r="AX9" s="1485"/>
      <c r="AY9" s="1485"/>
      <c r="AZ9" s="1485"/>
      <c r="BA9" s="1485"/>
      <c r="BB9" s="1485"/>
      <c r="BC9" s="1485"/>
      <c r="BD9" s="961"/>
    </row>
    <row r="10" spans="1:69" ht="24" customHeight="1">
      <c r="B10" s="773"/>
      <c r="C10" s="775"/>
      <c r="D10" s="1520"/>
      <c r="E10" s="1521"/>
      <c r="F10" s="1521"/>
      <c r="G10" s="1521"/>
      <c r="H10" s="1521"/>
      <c r="I10" s="1521"/>
      <c r="J10" s="1521"/>
      <c r="K10" s="1521"/>
      <c r="L10" s="1521"/>
      <c r="M10" s="1521"/>
      <c r="N10" s="1521"/>
      <c r="O10" s="1521"/>
      <c r="P10" s="1521"/>
      <c r="Q10" s="1521"/>
      <c r="R10" s="1521"/>
      <c r="S10" s="1521"/>
      <c r="T10" s="1521"/>
      <c r="U10" s="775"/>
      <c r="V10" s="775"/>
      <c r="W10" s="775"/>
      <c r="X10" s="775"/>
      <c r="Y10" s="775"/>
      <c r="Z10" s="775"/>
      <c r="AA10" s="775"/>
      <c r="AB10" s="775"/>
      <c r="AC10" s="775"/>
      <c r="AD10" s="775"/>
      <c r="AE10" s="775"/>
      <c r="AF10" s="775"/>
      <c r="AG10" s="775"/>
      <c r="AH10" s="775"/>
      <c r="AI10" s="775"/>
      <c r="AJ10" s="775"/>
      <c r="AK10" s="775"/>
      <c r="AL10" s="775"/>
      <c r="AM10" s="775"/>
      <c r="AN10" s="775"/>
      <c r="AO10" s="775"/>
      <c r="AP10" s="775"/>
      <c r="AQ10" s="775"/>
      <c r="AR10" s="775"/>
      <c r="AS10" s="775"/>
      <c r="AT10" s="775"/>
      <c r="AU10" s="775"/>
      <c r="AV10" s="775"/>
      <c r="AW10" s="775"/>
      <c r="AX10" s="775"/>
      <c r="AY10" s="775"/>
      <c r="AZ10" s="775"/>
      <c r="BA10" s="775"/>
      <c r="BB10" s="775"/>
      <c r="BC10" s="775"/>
      <c r="BD10" s="954"/>
      <c r="BH10" s="995" t="str">
        <f>IF(D10="","Údaj je potrebné vyplniť!","")</f>
        <v>Údaj je potrebné vyplniť!</v>
      </c>
    </row>
    <row r="11" spans="1:69">
      <c r="B11" s="773"/>
      <c r="C11" s="955"/>
      <c r="D11" s="968"/>
      <c r="E11" s="956"/>
      <c r="F11" s="956"/>
      <c r="G11" s="956"/>
      <c r="H11" s="956"/>
      <c r="I11" s="956"/>
      <c r="J11" s="956"/>
      <c r="K11" s="956"/>
      <c r="L11" s="957" t="s">
        <v>857</v>
      </c>
      <c r="M11" s="956"/>
      <c r="N11" s="956"/>
      <c r="O11" s="956"/>
      <c r="P11" s="956"/>
      <c r="Q11" s="956"/>
      <c r="R11" s="956"/>
      <c r="S11" s="956"/>
      <c r="T11" s="958"/>
      <c r="U11" s="775"/>
      <c r="V11" s="775"/>
      <c r="W11" s="775"/>
      <c r="X11" s="1493" t="s">
        <v>858</v>
      </c>
      <c r="Y11" s="1493"/>
      <c r="Z11" s="1493"/>
      <c r="AA11" s="1493"/>
      <c r="AB11" s="1493"/>
      <c r="AC11" s="1493"/>
      <c r="AD11" s="1493"/>
      <c r="AE11" s="1493"/>
      <c r="AF11" s="1493"/>
      <c r="AG11" s="1493"/>
      <c r="AH11" s="1493"/>
      <c r="AI11" s="1493"/>
      <c r="AJ11" s="1493"/>
      <c r="AK11" s="1493"/>
      <c r="AL11" s="955"/>
      <c r="AM11" s="775"/>
      <c r="AN11" s="1493" t="s">
        <v>859</v>
      </c>
      <c r="AO11" s="1493"/>
      <c r="AP11" s="1493"/>
      <c r="AQ11" s="1493"/>
      <c r="AR11" s="1493"/>
      <c r="AS11" s="1493"/>
      <c r="AT11" s="1493"/>
      <c r="AU11" s="1493"/>
      <c r="AV11" s="1493"/>
      <c r="AW11" s="1493"/>
      <c r="AX11" s="1493"/>
      <c r="AY11" s="1493"/>
      <c r="AZ11" s="1493"/>
      <c r="BA11" s="1493"/>
      <c r="BB11" s="775"/>
      <c r="BC11" s="775"/>
      <c r="BD11" s="954"/>
      <c r="BQ11" s="784"/>
    </row>
    <row r="12" spans="1:69" ht="25.5" customHeight="1">
      <c r="B12" s="773"/>
      <c r="C12" s="775"/>
      <c r="D12" s="775"/>
      <c r="E12" s="775"/>
      <c r="F12" s="775"/>
      <c r="G12" s="775"/>
      <c r="H12" s="775"/>
      <c r="I12" s="1522"/>
      <c r="J12" s="1522"/>
      <c r="K12" s="1522"/>
      <c r="L12" s="1522"/>
      <c r="M12" s="1522"/>
      <c r="N12" s="1522"/>
      <c r="O12" s="1522"/>
      <c r="P12" s="1522"/>
      <c r="Q12" s="1522"/>
      <c r="R12" s="1522"/>
      <c r="S12" s="1522"/>
      <c r="T12" s="1522"/>
      <c r="U12" s="1522"/>
      <c r="V12" s="1522"/>
      <c r="W12" s="1522"/>
      <c r="X12" s="1522"/>
      <c r="Y12" s="1522"/>
      <c r="Z12" s="775"/>
      <c r="AA12" s="775"/>
      <c r="AB12" s="775"/>
      <c r="AC12" s="775"/>
      <c r="AD12" s="775"/>
      <c r="AE12" s="775"/>
      <c r="AF12" s="775"/>
      <c r="AG12" s="1521"/>
      <c r="AH12" s="1521"/>
      <c r="AI12" s="1521"/>
      <c r="AJ12" s="1521"/>
      <c r="AK12" s="1521"/>
      <c r="AL12" s="1521"/>
      <c r="AM12" s="1521"/>
      <c r="AN12" s="1521"/>
      <c r="AO12" s="1521"/>
      <c r="AP12" s="1521"/>
      <c r="AQ12" s="1521"/>
      <c r="AR12" s="1521"/>
      <c r="AS12" s="1521"/>
      <c r="AT12" s="1521"/>
      <c r="AU12" s="1521"/>
      <c r="AV12" s="1521"/>
      <c r="AW12" s="1521"/>
      <c r="AX12" s="775"/>
      <c r="AY12" s="775"/>
      <c r="AZ12" s="775"/>
      <c r="BA12" s="775"/>
      <c r="BB12" s="775"/>
      <c r="BC12" s="775"/>
      <c r="BD12" s="954"/>
      <c r="BH12" s="995" t="str">
        <f>IF(I12="","Údaj je potrebné vyplniť!","")</f>
        <v>Údaj je potrebné vyplniť!</v>
      </c>
    </row>
    <row r="13" spans="1:69" ht="26.25" customHeight="1">
      <c r="B13" s="773"/>
      <c r="C13" s="775"/>
      <c r="D13" s="775"/>
      <c r="E13" s="775"/>
      <c r="F13" s="775"/>
      <c r="G13" s="775"/>
      <c r="H13" s="775"/>
      <c r="I13" s="1493" t="s">
        <v>917</v>
      </c>
      <c r="J13" s="1518"/>
      <c r="K13" s="1518"/>
      <c r="L13" s="1518"/>
      <c r="M13" s="1518"/>
      <c r="N13" s="1518"/>
      <c r="O13" s="1518"/>
      <c r="P13" s="1518"/>
      <c r="Q13" s="1518"/>
      <c r="R13" s="1518"/>
      <c r="S13" s="1518"/>
      <c r="T13" s="1518"/>
      <c r="U13" s="1518"/>
      <c r="V13" s="1518"/>
      <c r="W13" s="1518"/>
      <c r="X13" s="1518"/>
      <c r="Y13" s="1518"/>
      <c r="Z13" s="775"/>
      <c r="AA13" s="775"/>
      <c r="AB13" s="775"/>
      <c r="AC13" s="775"/>
      <c r="AD13" s="775"/>
      <c r="AE13" s="775"/>
      <c r="AF13" s="775"/>
      <c r="AG13" s="1518" t="s">
        <v>916</v>
      </c>
      <c r="AH13" s="1518"/>
      <c r="AI13" s="1518"/>
      <c r="AJ13" s="1518"/>
      <c r="AK13" s="1518"/>
      <c r="AL13" s="1518"/>
      <c r="AM13" s="1518"/>
      <c r="AN13" s="1518"/>
      <c r="AO13" s="1518"/>
      <c r="AP13" s="1518"/>
      <c r="AQ13" s="1518"/>
      <c r="AR13" s="1518"/>
      <c r="AS13" s="1518"/>
      <c r="AT13" s="1518"/>
      <c r="AU13" s="1518"/>
      <c r="AV13" s="1518"/>
      <c r="AW13" s="1518"/>
      <c r="AX13" s="775"/>
      <c r="AY13" s="775"/>
      <c r="AZ13" s="775"/>
      <c r="BA13" s="775"/>
      <c r="BB13" s="775"/>
      <c r="BC13" s="775"/>
      <c r="BD13" s="954"/>
    </row>
    <row r="14" spans="1:69" ht="3" customHeight="1" thickBot="1">
      <c r="B14" s="965"/>
      <c r="C14" s="966"/>
      <c r="D14" s="966"/>
      <c r="E14" s="966"/>
      <c r="F14" s="966"/>
      <c r="G14" s="966"/>
      <c r="H14" s="966"/>
      <c r="I14" s="966"/>
      <c r="J14" s="966"/>
      <c r="K14" s="966"/>
      <c r="L14" s="966"/>
      <c r="M14" s="966"/>
      <c r="N14" s="966"/>
      <c r="O14" s="966"/>
      <c r="P14" s="966"/>
      <c r="Q14" s="966"/>
      <c r="R14" s="966"/>
      <c r="S14" s="966"/>
      <c r="T14" s="966"/>
      <c r="U14" s="966"/>
      <c r="V14" s="966"/>
      <c r="W14" s="966"/>
      <c r="X14" s="966"/>
      <c r="Y14" s="966"/>
      <c r="Z14" s="966"/>
      <c r="AA14" s="966"/>
      <c r="AB14" s="966"/>
      <c r="AC14" s="966"/>
      <c r="AD14" s="966"/>
      <c r="AE14" s="966"/>
      <c r="AF14" s="966"/>
      <c r="AG14" s="966"/>
      <c r="AH14" s="966"/>
      <c r="AI14" s="966"/>
      <c r="AJ14" s="966"/>
      <c r="AK14" s="966"/>
      <c r="AL14" s="966"/>
      <c r="AM14" s="966"/>
      <c r="AN14" s="966"/>
      <c r="AO14" s="966"/>
      <c r="AP14" s="966"/>
      <c r="AQ14" s="966"/>
      <c r="AR14" s="966"/>
      <c r="AS14" s="966"/>
      <c r="AT14" s="966"/>
      <c r="AU14" s="966"/>
      <c r="AV14" s="966"/>
      <c r="AW14" s="966"/>
      <c r="AX14" s="966"/>
      <c r="AY14" s="966"/>
      <c r="AZ14" s="966"/>
      <c r="BA14" s="966"/>
      <c r="BB14" s="966"/>
      <c r="BC14" s="966"/>
      <c r="BD14" s="967"/>
    </row>
    <row r="15" spans="1:69" ht="3.75" customHeight="1"/>
    <row r="16" spans="1:69" ht="3" customHeight="1" thickBot="1">
      <c r="B16" s="965"/>
      <c r="C16" s="966"/>
      <c r="D16" s="966"/>
      <c r="E16" s="966"/>
      <c r="F16" s="966"/>
      <c r="G16" s="966"/>
      <c r="H16" s="966"/>
      <c r="I16" s="966"/>
      <c r="J16" s="966"/>
      <c r="K16" s="966"/>
      <c r="L16" s="966"/>
      <c r="M16" s="966"/>
      <c r="N16" s="966"/>
      <c r="O16" s="966"/>
      <c r="P16" s="966"/>
      <c r="Q16" s="966"/>
      <c r="R16" s="966"/>
      <c r="S16" s="966"/>
      <c r="T16" s="966"/>
      <c r="U16" s="966"/>
      <c r="V16" s="966"/>
      <c r="W16" s="966"/>
      <c r="X16" s="966"/>
      <c r="Y16" s="966"/>
      <c r="Z16" s="966"/>
      <c r="AA16" s="966"/>
      <c r="AB16" s="966"/>
      <c r="AC16" s="966"/>
      <c r="AD16" s="966"/>
      <c r="AE16" s="966"/>
      <c r="AF16" s="966"/>
      <c r="AG16" s="966"/>
      <c r="AH16" s="966"/>
      <c r="AI16" s="966"/>
      <c r="AJ16" s="966"/>
      <c r="AK16" s="966"/>
      <c r="AL16" s="966"/>
      <c r="AM16" s="966"/>
      <c r="AN16" s="966"/>
      <c r="AO16" s="966"/>
      <c r="AP16" s="966"/>
      <c r="AQ16" s="966"/>
      <c r="AR16" s="966"/>
      <c r="AS16" s="966"/>
      <c r="AT16" s="966"/>
      <c r="AU16" s="966"/>
      <c r="AV16" s="966"/>
      <c r="AW16" s="966"/>
      <c r="AX16" s="966"/>
      <c r="AY16" s="966"/>
      <c r="AZ16" s="966"/>
      <c r="BA16" s="966"/>
      <c r="BB16" s="966"/>
      <c r="BC16" s="966"/>
      <c r="BD16" s="967"/>
    </row>
    <row r="17" spans="2:60" ht="4.5" customHeight="1" thickBot="1"/>
    <row r="18" spans="2:60" ht="8.1" customHeight="1">
      <c r="B18" s="929"/>
      <c r="C18" s="931"/>
      <c r="D18" s="931"/>
      <c r="E18" s="931"/>
      <c r="F18" s="931"/>
      <c r="G18" s="931"/>
      <c r="H18" s="931"/>
      <c r="I18" s="931"/>
      <c r="J18" s="931"/>
      <c r="K18" s="931"/>
      <c r="L18" s="931"/>
      <c r="M18" s="931"/>
      <c r="N18" s="931"/>
      <c r="O18" s="931"/>
      <c r="P18" s="931"/>
      <c r="Q18" s="931"/>
      <c r="R18" s="931"/>
      <c r="S18" s="931"/>
      <c r="T18" s="931"/>
      <c r="U18" s="931"/>
      <c r="V18" s="931"/>
      <c r="W18" s="931"/>
      <c r="X18" s="931"/>
      <c r="Y18" s="931"/>
      <c r="Z18" s="931"/>
      <c r="AA18" s="931"/>
      <c r="AB18" s="931"/>
      <c r="AC18" s="931"/>
      <c r="AD18" s="931"/>
      <c r="AE18" s="931"/>
      <c r="AF18" s="931"/>
      <c r="AG18" s="931"/>
      <c r="AH18" s="931"/>
      <c r="AI18" s="931"/>
      <c r="AJ18" s="931"/>
      <c r="AK18" s="931"/>
      <c r="AL18" s="931"/>
      <c r="AM18" s="931"/>
      <c r="AN18" s="931"/>
      <c r="AO18" s="931"/>
      <c r="AP18" s="931"/>
      <c r="AQ18" s="931"/>
      <c r="AR18" s="931"/>
      <c r="AS18" s="931"/>
      <c r="AT18" s="931"/>
      <c r="AU18" s="931"/>
      <c r="AV18" s="931"/>
      <c r="AW18" s="931"/>
      <c r="AX18" s="931"/>
      <c r="AY18" s="931"/>
      <c r="AZ18" s="931"/>
      <c r="BA18" s="931"/>
      <c r="BB18" s="931"/>
      <c r="BC18" s="931"/>
      <c r="BD18" s="932"/>
    </row>
    <row r="19" spans="2:60" ht="20.100000000000001" customHeight="1">
      <c r="B19" s="773"/>
      <c r="C19" s="775"/>
      <c r="D19" s="775"/>
      <c r="E19" s="775"/>
      <c r="F19" s="775"/>
      <c r="G19" s="775"/>
      <c r="H19" s="775"/>
      <c r="I19" s="1517" t="str">
        <f>IF($I$12="","?",$I$12)</f>
        <v>?</v>
      </c>
      <c r="J19" s="1517"/>
      <c r="K19" s="1517"/>
      <c r="L19" s="1517"/>
      <c r="M19" s="1517"/>
      <c r="N19" s="1517"/>
      <c r="O19" s="1517"/>
      <c r="P19" s="1517"/>
      <c r="Q19" s="1517"/>
      <c r="R19" s="1517"/>
      <c r="S19" s="1517"/>
      <c r="T19" s="1517"/>
      <c r="U19" s="1517"/>
      <c r="V19" s="1517"/>
      <c r="W19" s="1517"/>
      <c r="X19" s="1517"/>
      <c r="Y19" s="1517"/>
      <c r="Z19" s="775"/>
      <c r="AA19" s="775"/>
      <c r="AB19" s="775"/>
      <c r="AC19" s="775"/>
      <c r="AD19" s="775"/>
      <c r="AE19" s="775"/>
      <c r="AF19" s="775"/>
      <c r="AG19" s="1519"/>
      <c r="AH19" s="1519"/>
      <c r="AI19" s="1519"/>
      <c r="AJ19" s="1519"/>
      <c r="AK19" s="1519"/>
      <c r="AL19" s="1519"/>
      <c r="AM19" s="1519"/>
      <c r="AN19" s="1519"/>
      <c r="AO19" s="1519"/>
      <c r="AP19" s="1519"/>
      <c r="AQ19" s="1519"/>
      <c r="AR19" s="1519"/>
      <c r="AS19" s="1519"/>
      <c r="AT19" s="1519"/>
      <c r="AU19" s="1519"/>
      <c r="AV19" s="1519"/>
      <c r="AW19" s="1519"/>
      <c r="AX19" s="775"/>
      <c r="AY19" s="775"/>
      <c r="AZ19" s="775"/>
      <c r="BA19" s="775"/>
      <c r="BB19" s="775"/>
      <c r="BC19" s="775"/>
      <c r="BD19" s="954"/>
      <c r="BH19" s="995" t="str">
        <f>IF(AND(AG22="",I22=""),"Vyplnte číslo získateľa alebo číslo nadzmluvy!","")</f>
        <v>Vyplnte číslo získateľa alebo číslo nadzmluvy!</v>
      </c>
    </row>
    <row r="20" spans="2:60" ht="26.25" customHeight="1">
      <c r="B20" s="773"/>
      <c r="C20" s="775"/>
      <c r="D20" s="775"/>
      <c r="E20" s="775"/>
      <c r="F20" s="775"/>
      <c r="G20" s="775"/>
      <c r="H20" s="775"/>
      <c r="I20" s="1493" t="s">
        <v>917</v>
      </c>
      <c r="J20" s="1518"/>
      <c r="K20" s="1518"/>
      <c r="L20" s="1518"/>
      <c r="M20" s="1518"/>
      <c r="N20" s="1518"/>
      <c r="O20" s="1518"/>
      <c r="P20" s="1518"/>
      <c r="Q20" s="1518"/>
      <c r="R20" s="1518"/>
      <c r="S20" s="1518"/>
      <c r="T20" s="1518"/>
      <c r="U20" s="1518"/>
      <c r="V20" s="1518"/>
      <c r="W20" s="1518"/>
      <c r="X20" s="1518"/>
      <c r="Y20" s="1518"/>
      <c r="Z20" s="775"/>
      <c r="AA20" s="775"/>
      <c r="AB20" s="775"/>
      <c r="AC20" s="775"/>
      <c r="AD20" s="775"/>
      <c r="AE20" s="775"/>
      <c r="AF20" s="775"/>
      <c r="AG20" s="1518" t="s">
        <v>895</v>
      </c>
      <c r="AH20" s="1518"/>
      <c r="AI20" s="1518"/>
      <c r="AJ20" s="1518"/>
      <c r="AK20" s="1518"/>
      <c r="AL20" s="1518"/>
      <c r="AM20" s="1518"/>
      <c r="AN20" s="1518"/>
      <c r="AO20" s="1518"/>
      <c r="AP20" s="1518"/>
      <c r="AQ20" s="1518"/>
      <c r="AR20" s="1518"/>
      <c r="AS20" s="1518"/>
      <c r="AT20" s="1518"/>
      <c r="AU20" s="1518"/>
      <c r="AV20" s="1518"/>
      <c r="AW20" s="1518"/>
      <c r="AX20" s="775"/>
      <c r="AY20" s="775"/>
      <c r="AZ20" s="775"/>
      <c r="BA20" s="775"/>
      <c r="BB20" s="775"/>
      <c r="BC20" s="775"/>
      <c r="BD20" s="954"/>
    </row>
    <row r="21" spans="2:60" ht="8.1" customHeight="1">
      <c r="B21" s="773"/>
      <c r="C21" s="775"/>
      <c r="D21" s="775"/>
      <c r="E21" s="775"/>
      <c r="F21" s="775"/>
      <c r="G21" s="775"/>
      <c r="H21" s="775"/>
      <c r="I21" s="1007"/>
      <c r="J21" s="1007"/>
      <c r="K21" s="1007"/>
      <c r="L21" s="1007"/>
      <c r="M21" s="1007"/>
      <c r="N21" s="1007"/>
      <c r="O21" s="1007"/>
      <c r="P21" s="1007"/>
      <c r="Q21" s="1007"/>
      <c r="R21" s="1007"/>
      <c r="S21" s="1007"/>
      <c r="T21" s="1007"/>
      <c r="U21" s="1007"/>
      <c r="V21" s="1007"/>
      <c r="W21" s="1007"/>
      <c r="X21" s="1007"/>
      <c r="Y21" s="1007"/>
      <c r="Z21" s="775"/>
      <c r="AA21" s="775"/>
      <c r="AB21" s="775"/>
      <c r="AC21" s="775"/>
      <c r="AD21" s="775"/>
      <c r="AE21" s="775"/>
      <c r="AF21" s="775"/>
      <c r="AG21" s="1007"/>
      <c r="AH21" s="1007"/>
      <c r="AI21" s="1007"/>
      <c r="AJ21" s="1007"/>
      <c r="AK21" s="1007"/>
      <c r="AL21" s="1007"/>
      <c r="AM21" s="1007"/>
      <c r="AN21" s="1007"/>
      <c r="AO21" s="1007"/>
      <c r="AP21" s="1007"/>
      <c r="AQ21" s="1007"/>
      <c r="AR21" s="1007"/>
      <c r="AS21" s="1007"/>
      <c r="AT21" s="1007"/>
      <c r="AU21" s="1007"/>
      <c r="AV21" s="1007"/>
      <c r="AW21" s="1007"/>
      <c r="AX21" s="775"/>
      <c r="AY21" s="775"/>
      <c r="AZ21" s="775"/>
      <c r="BA21" s="775"/>
      <c r="BB21" s="775"/>
      <c r="BC21" s="775"/>
      <c r="BD21" s="954"/>
    </row>
    <row r="22" spans="2:60" ht="8.1" customHeight="1">
      <c r="B22" s="1005"/>
      <c r="C22" s="928"/>
      <c r="D22" s="928"/>
      <c r="E22" s="928"/>
      <c r="F22" s="928"/>
      <c r="G22" s="928"/>
      <c r="H22" s="928"/>
      <c r="I22" s="1511"/>
      <c r="J22" s="1512"/>
      <c r="K22" s="1512"/>
      <c r="L22" s="1512"/>
      <c r="M22" s="1512"/>
      <c r="N22" s="1512"/>
      <c r="O22" s="1512"/>
      <c r="P22" s="1512"/>
      <c r="Q22" s="1512"/>
      <c r="R22" s="1512"/>
      <c r="S22" s="1512"/>
      <c r="T22" s="1512"/>
      <c r="U22" s="1512"/>
      <c r="V22" s="1512"/>
      <c r="W22" s="1512"/>
      <c r="X22" s="1512"/>
      <c r="Y22" s="1513"/>
      <c r="Z22" s="928"/>
      <c r="AA22" s="928"/>
      <c r="AB22" s="928"/>
      <c r="AC22" s="928"/>
      <c r="AD22" s="928"/>
      <c r="AE22" s="928"/>
      <c r="AF22" s="928"/>
      <c r="AG22" s="1511"/>
      <c r="AH22" s="1512"/>
      <c r="AI22" s="1512"/>
      <c r="AJ22" s="1512"/>
      <c r="AK22" s="1512"/>
      <c r="AL22" s="1512"/>
      <c r="AM22" s="1512"/>
      <c r="AN22" s="1512"/>
      <c r="AO22" s="1512"/>
      <c r="AP22" s="1512"/>
      <c r="AQ22" s="1512"/>
      <c r="AR22" s="1512"/>
      <c r="AS22" s="1512"/>
      <c r="AT22" s="1512"/>
      <c r="AU22" s="1512"/>
      <c r="AV22" s="1512"/>
      <c r="AW22" s="1513"/>
      <c r="AX22" s="928"/>
      <c r="AY22" s="928"/>
      <c r="AZ22" s="928"/>
      <c r="BA22" s="928"/>
      <c r="BB22" s="928"/>
      <c r="BC22" s="928"/>
      <c r="BD22" s="722"/>
    </row>
    <row r="23" spans="2:60">
      <c r="B23" s="773"/>
      <c r="C23" s="775"/>
      <c r="D23" s="775"/>
      <c r="E23" s="775"/>
      <c r="F23" s="775"/>
      <c r="G23" s="775"/>
      <c r="H23" s="775"/>
      <c r="I23" s="1514"/>
      <c r="J23" s="1515"/>
      <c r="K23" s="1515"/>
      <c r="L23" s="1515"/>
      <c r="M23" s="1515"/>
      <c r="N23" s="1515"/>
      <c r="O23" s="1515"/>
      <c r="P23" s="1515"/>
      <c r="Q23" s="1515"/>
      <c r="R23" s="1515"/>
      <c r="S23" s="1515"/>
      <c r="T23" s="1515"/>
      <c r="U23" s="1515"/>
      <c r="V23" s="1515"/>
      <c r="W23" s="1515"/>
      <c r="X23" s="1515"/>
      <c r="Y23" s="1516"/>
      <c r="Z23" s="775"/>
      <c r="AA23" s="775"/>
      <c r="AB23" s="775"/>
      <c r="AC23" s="775"/>
      <c r="AD23" s="775"/>
      <c r="AE23" s="775"/>
      <c r="AF23" s="775"/>
      <c r="AG23" s="1514"/>
      <c r="AH23" s="1515"/>
      <c r="AI23" s="1515"/>
      <c r="AJ23" s="1515"/>
      <c r="AK23" s="1515"/>
      <c r="AL23" s="1515"/>
      <c r="AM23" s="1515"/>
      <c r="AN23" s="1515"/>
      <c r="AO23" s="1515"/>
      <c r="AP23" s="1515"/>
      <c r="AQ23" s="1515"/>
      <c r="AR23" s="1515"/>
      <c r="AS23" s="1515"/>
      <c r="AT23" s="1515"/>
      <c r="AU23" s="1515"/>
      <c r="AV23" s="1515"/>
      <c r="AW23" s="1516"/>
      <c r="AX23" s="775"/>
      <c r="AY23" s="775"/>
      <c r="AZ23" s="775"/>
      <c r="BA23" s="775"/>
      <c r="BB23" s="775"/>
      <c r="BC23" s="775"/>
      <c r="BD23" s="954"/>
    </row>
    <row r="24" spans="2:60" ht="11.25" customHeight="1">
      <c r="B24" s="773"/>
      <c r="C24" s="775"/>
      <c r="D24" s="775"/>
      <c r="E24" s="775"/>
      <c r="F24" s="775"/>
      <c r="G24" s="775"/>
      <c r="H24" s="775"/>
      <c r="I24" s="1510"/>
      <c r="J24" s="1510"/>
      <c r="K24" s="1510"/>
      <c r="L24" s="1510"/>
      <c r="M24" s="1510"/>
      <c r="N24" s="1510"/>
      <c r="O24" s="1510"/>
      <c r="P24" s="1510"/>
      <c r="Q24" s="1510"/>
      <c r="R24" s="1510"/>
      <c r="S24" s="1510"/>
      <c r="T24" s="1510"/>
      <c r="U24" s="1510"/>
      <c r="V24" s="1510"/>
      <c r="W24" s="1510"/>
      <c r="X24" s="1510"/>
      <c r="Y24" s="1510"/>
      <c r="Z24" s="775"/>
      <c r="AA24" s="775"/>
      <c r="AB24" s="775"/>
      <c r="AC24" s="775"/>
      <c r="AD24" s="775"/>
      <c r="AE24" s="775"/>
      <c r="AF24" s="775"/>
      <c r="AG24" s="1510"/>
      <c r="AH24" s="1510"/>
      <c r="AI24" s="1510"/>
      <c r="AJ24" s="1510"/>
      <c r="AK24" s="1510"/>
      <c r="AL24" s="1510"/>
      <c r="AM24" s="1510"/>
      <c r="AN24" s="1510"/>
      <c r="AO24" s="1510"/>
      <c r="AP24" s="1510"/>
      <c r="AQ24" s="1510"/>
      <c r="AR24" s="1510"/>
      <c r="AS24" s="1510"/>
      <c r="AT24" s="1510"/>
      <c r="AU24" s="1510"/>
      <c r="AV24" s="1510"/>
      <c r="AW24" s="1510"/>
      <c r="AX24" s="775"/>
      <c r="AY24" s="775"/>
      <c r="AZ24" s="775"/>
      <c r="BA24" s="775"/>
      <c r="BB24" s="775"/>
      <c r="BC24" s="775"/>
      <c r="BD24" s="954"/>
    </row>
    <row r="25" spans="2:60" ht="2.25" customHeight="1" thickBot="1">
      <c r="B25" s="962"/>
      <c r="C25" s="963"/>
      <c r="D25" s="963"/>
      <c r="E25" s="963"/>
      <c r="F25" s="963"/>
      <c r="G25" s="963"/>
      <c r="H25" s="963"/>
      <c r="I25" s="963"/>
      <c r="J25" s="963"/>
      <c r="K25" s="963"/>
      <c r="L25" s="963"/>
      <c r="M25" s="963"/>
      <c r="N25" s="963"/>
      <c r="O25" s="963"/>
      <c r="P25" s="963"/>
      <c r="Q25" s="963"/>
      <c r="R25" s="963"/>
      <c r="S25" s="963"/>
      <c r="T25" s="963"/>
      <c r="U25" s="963"/>
      <c r="V25" s="963"/>
      <c r="W25" s="963"/>
      <c r="X25" s="963"/>
      <c r="Y25" s="963"/>
      <c r="Z25" s="963"/>
      <c r="AA25" s="963"/>
      <c r="AB25" s="963"/>
      <c r="AC25" s="963"/>
      <c r="AD25" s="963"/>
      <c r="AE25" s="963"/>
      <c r="AF25" s="963"/>
      <c r="AG25" s="963"/>
      <c r="AH25" s="963"/>
      <c r="AI25" s="963"/>
      <c r="AJ25" s="963"/>
      <c r="AK25" s="963"/>
      <c r="AL25" s="963"/>
      <c r="AM25" s="963"/>
      <c r="AN25" s="963"/>
      <c r="AO25" s="963"/>
      <c r="AP25" s="963"/>
      <c r="AQ25" s="963"/>
      <c r="AR25" s="963"/>
      <c r="AS25" s="963"/>
      <c r="AT25" s="963"/>
      <c r="AU25" s="963"/>
      <c r="AV25" s="963"/>
      <c r="AW25" s="963"/>
      <c r="AX25" s="963"/>
      <c r="AY25" s="963"/>
      <c r="AZ25" s="963"/>
      <c r="BA25" s="963"/>
      <c r="BB25" s="963"/>
      <c r="BC25" s="963"/>
      <c r="BD25" s="924"/>
    </row>
    <row r="26" spans="2:60" ht="18.75" customHeight="1"/>
    <row r="27" spans="2:60" ht="150.75" customHeight="1">
      <c r="BD27" s="843" t="s">
        <v>939</v>
      </c>
    </row>
  </sheetData>
  <mergeCells count="18">
    <mergeCell ref="C7:BC7"/>
    <mergeCell ref="C8:BC8"/>
    <mergeCell ref="C9:BC9"/>
    <mergeCell ref="X11:AK11"/>
    <mergeCell ref="AN11:BA11"/>
    <mergeCell ref="I13:Y13"/>
    <mergeCell ref="AG13:AW13"/>
    <mergeCell ref="D10:T10"/>
    <mergeCell ref="I12:Y12"/>
    <mergeCell ref="AG12:AW12"/>
    <mergeCell ref="I24:Y24"/>
    <mergeCell ref="AG24:AW24"/>
    <mergeCell ref="I22:Y23"/>
    <mergeCell ref="AG22:AW23"/>
    <mergeCell ref="I19:Y19"/>
    <mergeCell ref="I20:Y20"/>
    <mergeCell ref="AG20:AW20"/>
    <mergeCell ref="AG19:AW19"/>
  </mergeCells>
  <conditionalFormatting sqref="D10:T10">
    <cfRule type="expression" dxfId="23" priority="20" stopIfTrue="1">
      <formula>$BH$10&lt;&gt;""</formula>
    </cfRule>
  </conditionalFormatting>
  <conditionalFormatting sqref="I12">
    <cfRule type="expression" dxfId="22" priority="19">
      <formula>$I$12=""</formula>
    </cfRule>
  </conditionalFormatting>
  <conditionalFormatting sqref="J2">
    <cfRule type="cellIs" dxfId="21" priority="17" operator="equal">
      <formula>"O.K."</formula>
    </cfRule>
  </conditionalFormatting>
  <conditionalFormatting sqref="I22:Y23">
    <cfRule type="expression" dxfId="20" priority="9">
      <formula>$BH$19&lt;&gt;""</formula>
    </cfRule>
  </conditionalFormatting>
  <conditionalFormatting sqref="AG22:AW23">
    <cfRule type="expression" dxfId="19" priority="8">
      <formula>$BH$19&lt;&gt;""</formula>
    </cfRule>
  </conditionalFormatting>
  <printOptions horizontalCentered="1"/>
  <pageMargins left="0.11811023622047245" right="0.11811023622047245" top="0.31496062992125984" bottom="0.11811023622047245" header="0" footer="0"/>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8" r:id="rId4" name="Button 8">
              <controlPr defaultSize="0" print="0" autoFill="0" autoPict="0" macro="[0]!Tlacit">
                <anchor moveWithCells="1" sizeWithCells="1">
                  <from>
                    <xdr:col>59</xdr:col>
                    <xdr:colOff>213360</xdr:colOff>
                    <xdr:row>0</xdr:row>
                    <xdr:rowOff>144780</xdr:rowOff>
                  </from>
                  <to>
                    <xdr:col>62</xdr:col>
                    <xdr:colOff>259080</xdr:colOff>
                    <xdr:row>2</xdr:row>
                    <xdr:rowOff>144780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pageSetUpPr fitToPage="1"/>
  </sheetPr>
  <dimension ref="A1:CB88"/>
  <sheetViews>
    <sheetView zoomScaleNormal="100" workbookViewId="0">
      <selection activeCell="BO35" sqref="BO35"/>
    </sheetView>
  </sheetViews>
  <sheetFormatPr defaultColWidth="9.109375" defaultRowHeight="10.199999999999999"/>
  <cols>
    <col min="1" max="1" width="1" style="287" customWidth="1"/>
    <col min="2" max="2" width="2.33203125" style="260" customWidth="1"/>
    <col min="3" max="3" width="1.5546875" style="246" customWidth="1"/>
    <col min="4" max="4" width="2.6640625" style="260" customWidth="1"/>
    <col min="5" max="5" width="1.6640625" style="260" customWidth="1"/>
    <col min="6" max="6" width="2.6640625" style="260" customWidth="1"/>
    <col min="7" max="8" width="1.6640625" style="260" customWidth="1"/>
    <col min="9" max="9" width="3.109375" style="260" customWidth="1"/>
    <col min="10" max="10" width="1.6640625" style="260" customWidth="1"/>
    <col min="11" max="11" width="1.88671875" style="260" customWidth="1"/>
    <col min="12" max="12" width="0.44140625" style="260" customWidth="1"/>
    <col min="13" max="13" width="0.6640625" style="260" customWidth="1"/>
    <col min="14" max="14" width="1.6640625" style="260" customWidth="1"/>
    <col min="15" max="15" width="2.33203125" style="260" customWidth="1"/>
    <col min="16" max="16" width="0.88671875" style="260" customWidth="1"/>
    <col min="17" max="17" width="2.44140625" style="260" customWidth="1"/>
    <col min="18" max="18" width="1.44140625" style="260" customWidth="1"/>
    <col min="19" max="19" width="1.109375" style="260" customWidth="1"/>
    <col min="20" max="20" width="1.6640625" style="260" customWidth="1"/>
    <col min="21" max="21" width="2.33203125" style="260" customWidth="1"/>
    <col min="22" max="22" width="1.6640625" style="260" customWidth="1"/>
    <col min="23" max="23" width="2" style="260" customWidth="1"/>
    <col min="24" max="24" width="3" style="260" customWidth="1"/>
    <col min="25" max="25" width="2.33203125" style="260" customWidth="1"/>
    <col min="26" max="26" width="1.5546875" style="260" customWidth="1"/>
    <col min="27" max="27" width="2.33203125" style="260" customWidth="1"/>
    <col min="28" max="28" width="1.6640625" style="260" customWidth="1"/>
    <col min="29" max="29" width="1.88671875" style="260" customWidth="1"/>
    <col min="30" max="30" width="2.5546875" style="260" customWidth="1"/>
    <col min="31" max="34" width="2.33203125" style="260" customWidth="1"/>
    <col min="35" max="35" width="2" style="260" customWidth="1"/>
    <col min="36" max="36" width="1.6640625" style="260" customWidth="1"/>
    <col min="37" max="37" width="2.88671875" style="260" customWidth="1"/>
    <col min="38" max="38" width="1.88671875" style="260" customWidth="1"/>
    <col min="39" max="39" width="0.44140625" style="260" customWidth="1"/>
    <col min="40" max="40" width="1.6640625" style="260" customWidth="1"/>
    <col min="41" max="41" width="2.6640625" style="260" customWidth="1"/>
    <col min="42" max="42" width="1.6640625" style="260" customWidth="1"/>
    <col min="43" max="43" width="2.6640625" style="260" customWidth="1"/>
    <col min="44" max="44" width="2.109375" style="260" customWidth="1"/>
    <col min="45" max="45" width="2" style="260" customWidth="1"/>
    <col min="46" max="46" width="1.33203125" style="260" customWidth="1"/>
    <col min="47" max="48" width="1.6640625" style="260" customWidth="1"/>
    <col min="49" max="49" width="2.33203125" style="260" customWidth="1"/>
    <col min="50" max="50" width="1.6640625" style="260" customWidth="1"/>
    <col min="51" max="51" width="2.33203125" style="260" customWidth="1"/>
    <col min="52" max="52" width="2" style="260" customWidth="1"/>
    <col min="53" max="53" width="1.6640625" style="260" customWidth="1"/>
    <col min="54" max="54" width="2.33203125" style="260" customWidth="1"/>
    <col min="55" max="56" width="1.88671875" style="260" customWidth="1"/>
    <col min="57" max="57" width="3.5546875" style="260" customWidth="1"/>
    <col min="58" max="58" width="0.44140625" style="260" customWidth="1"/>
    <col min="59" max="59" width="2.33203125" style="260" customWidth="1"/>
    <col min="60" max="60" width="2.109375" style="260" customWidth="1"/>
    <col min="61" max="61" width="0.88671875" style="260" customWidth="1"/>
    <col min="62" max="62" width="2.109375" style="260" customWidth="1"/>
    <col min="63" max="63" width="2" style="260" customWidth="1"/>
    <col min="64" max="64" width="2.109375" style="260" customWidth="1"/>
    <col min="65" max="65" width="2.33203125" style="260" customWidth="1"/>
    <col min="66" max="66" width="2.44140625" style="260" customWidth="1"/>
    <col min="67" max="67" width="9.109375" style="361"/>
    <col min="68" max="16384" width="9.109375" style="260"/>
  </cols>
  <sheetData>
    <row r="1" spans="1:80" s="247" customFormat="1" ht="24.75" customHeight="1">
      <c r="A1" s="244" t="s">
        <v>618</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114"/>
      <c r="AX1" s="245"/>
      <c r="AY1" s="245"/>
      <c r="AZ1" s="245"/>
      <c r="BA1" s="245"/>
      <c r="BB1" s="245"/>
      <c r="BC1" s="245"/>
      <c r="BD1" s="245"/>
      <c r="BE1" s="245"/>
      <c r="BF1" s="245"/>
      <c r="BG1" s="245"/>
      <c r="BH1" s="245"/>
      <c r="BI1" s="245"/>
      <c r="BJ1" s="246"/>
    </row>
    <row r="2" spans="1:80" s="247" customFormat="1" ht="6" customHeight="1">
      <c r="A2" s="248"/>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50"/>
    </row>
    <row r="3" spans="1:80" s="255" customFormat="1" ht="15.75" customHeight="1" thickBot="1">
      <c r="A3" s="251" t="s">
        <v>619</v>
      </c>
      <c r="B3" s="251"/>
      <c r="C3" s="251"/>
      <c r="D3" s="251"/>
      <c r="E3" s="251"/>
      <c r="F3" s="251"/>
      <c r="G3" s="251"/>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1"/>
      <c r="AQ3" s="251"/>
      <c r="AR3" s="251"/>
      <c r="AS3" s="251"/>
      <c r="AT3" s="251"/>
      <c r="AU3" s="251"/>
      <c r="AV3" s="251"/>
      <c r="AW3" s="251"/>
      <c r="AX3" s="252"/>
      <c r="AY3" s="252"/>
      <c r="AZ3" s="252"/>
      <c r="BA3" s="252"/>
      <c r="BB3" s="252"/>
      <c r="BC3" s="252"/>
      <c r="BD3" s="252"/>
      <c r="BE3" s="252"/>
      <c r="BF3" s="252"/>
      <c r="BG3" s="252"/>
      <c r="BH3" s="252"/>
      <c r="BI3" s="252"/>
      <c r="BJ3" s="246"/>
      <c r="BK3" s="253"/>
      <c r="BL3" s="253"/>
      <c r="BM3" s="253"/>
      <c r="BN3" s="253"/>
      <c r="BO3" s="254"/>
      <c r="BP3" s="253"/>
      <c r="BQ3" s="253"/>
      <c r="BR3" s="253"/>
      <c r="BS3" s="253"/>
      <c r="BT3" s="253"/>
      <c r="BU3" s="253"/>
      <c r="BV3" s="253"/>
      <c r="BW3" s="253"/>
      <c r="BX3" s="253"/>
      <c r="BY3" s="253"/>
      <c r="BZ3" s="253"/>
      <c r="CA3" s="253"/>
      <c r="CB3" s="253"/>
    </row>
    <row r="4" spans="1:80" ht="10.5" hidden="1" customHeight="1">
      <c r="A4" s="256"/>
      <c r="B4" s="257"/>
      <c r="C4" s="258"/>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257"/>
      <c r="AE4" s="257"/>
      <c r="AF4" s="257"/>
      <c r="AG4" s="257"/>
      <c r="AH4" s="257"/>
      <c r="AI4" s="257"/>
      <c r="AJ4" s="257"/>
      <c r="AK4" s="257"/>
      <c r="AL4" s="257"/>
      <c r="AM4" s="257"/>
      <c r="AN4" s="257"/>
      <c r="AO4" s="257"/>
      <c r="AP4" s="257"/>
      <c r="AQ4" s="257"/>
      <c r="AR4" s="257"/>
      <c r="AS4" s="257"/>
      <c r="AT4" s="257"/>
      <c r="AU4" s="257"/>
      <c r="AV4" s="257"/>
      <c r="AW4" s="257"/>
      <c r="AX4" s="257"/>
      <c r="AY4" s="257"/>
      <c r="AZ4" s="257"/>
      <c r="BA4" s="257"/>
      <c r="BB4" s="257"/>
      <c r="BC4" s="257"/>
      <c r="BD4" s="257"/>
      <c r="BE4" s="257"/>
      <c r="BF4" s="257"/>
      <c r="BG4" s="257"/>
      <c r="BH4" s="257"/>
      <c r="BI4" s="259"/>
      <c r="BO4" s="260"/>
    </row>
    <row r="5" spans="1:80" ht="12.75" hidden="1" customHeight="1">
      <c r="A5" s="261"/>
      <c r="B5" s="262" t="s">
        <v>48</v>
      </c>
      <c r="C5" s="263"/>
      <c r="D5" s="263"/>
      <c r="E5" s="263"/>
      <c r="F5" s="263"/>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4"/>
      <c r="AT5" s="264"/>
      <c r="AU5" s="264"/>
      <c r="AV5" s="264"/>
      <c r="AW5" s="264"/>
      <c r="AX5" s="264"/>
      <c r="AY5" s="264"/>
      <c r="AZ5" s="264"/>
      <c r="BA5" s="264"/>
      <c r="BB5" s="264"/>
      <c r="BC5" s="264"/>
      <c r="BD5" s="264"/>
      <c r="BE5" s="264"/>
      <c r="BF5" s="264"/>
      <c r="BG5" s="264"/>
      <c r="BH5" s="264"/>
      <c r="BI5" s="265"/>
      <c r="BO5" s="260"/>
    </row>
    <row r="6" spans="1:80" ht="17.25" hidden="1" customHeight="1">
      <c r="A6" s="266"/>
      <c r="B6" s="267" t="s">
        <v>40</v>
      </c>
      <c r="C6" s="268"/>
      <c r="D6" s="267"/>
      <c r="E6" s="267"/>
      <c r="F6" s="267"/>
      <c r="G6" s="267"/>
      <c r="H6" s="267"/>
      <c r="I6" s="267"/>
      <c r="J6" s="267"/>
      <c r="K6" s="267"/>
      <c r="L6" s="267"/>
      <c r="M6" s="267"/>
      <c r="N6" s="267"/>
      <c r="O6" s="269"/>
      <c r="P6" s="267"/>
      <c r="Q6" s="267"/>
      <c r="R6" s="267"/>
      <c r="S6" s="267"/>
      <c r="T6" s="267"/>
      <c r="U6" s="267"/>
      <c r="V6" s="270" t="s">
        <v>41</v>
      </c>
      <c r="W6" s="267"/>
      <c r="X6" s="267"/>
      <c r="Y6" s="267"/>
      <c r="Z6" s="267"/>
      <c r="AA6" s="267"/>
      <c r="AB6" s="267"/>
      <c r="AC6" s="267"/>
      <c r="AD6" s="267"/>
      <c r="AE6" s="267"/>
      <c r="AF6" s="267"/>
      <c r="AG6" s="267"/>
      <c r="AH6" s="267"/>
      <c r="AI6" s="267"/>
      <c r="AJ6" s="270" t="s">
        <v>620</v>
      </c>
      <c r="AK6" s="267"/>
      <c r="AL6" s="267"/>
      <c r="AM6" s="267"/>
      <c r="AN6" s="267"/>
      <c r="AO6" s="267"/>
      <c r="AP6" s="267"/>
      <c r="AQ6" s="267"/>
      <c r="AR6" s="271"/>
      <c r="AS6" s="271"/>
      <c r="AT6" s="1568" t="s">
        <v>42</v>
      </c>
      <c r="AU6" s="1569"/>
      <c r="AV6" s="1569"/>
      <c r="AW6" s="1569"/>
      <c r="AX6" s="1569"/>
      <c r="AY6" s="1570"/>
      <c r="AZ6" s="272"/>
      <c r="BA6" s="272"/>
      <c r="BB6" s="272"/>
      <c r="BC6" s="272"/>
      <c r="BD6" s="272"/>
      <c r="BE6" s="273"/>
      <c r="BF6" s="274"/>
      <c r="BG6" s="272"/>
      <c r="BH6" s="272"/>
      <c r="BI6" s="275"/>
      <c r="BO6" s="260"/>
    </row>
    <row r="7" spans="1:80" ht="17.25" hidden="1" customHeight="1">
      <c r="A7" s="276"/>
      <c r="B7" s="277" t="s">
        <v>43</v>
      </c>
      <c r="C7" s="278"/>
      <c r="D7" s="277"/>
      <c r="E7" s="277"/>
      <c r="F7" s="277"/>
      <c r="G7" s="277"/>
      <c r="H7" s="277"/>
      <c r="I7" s="277"/>
      <c r="J7" s="277"/>
      <c r="K7" s="277"/>
      <c r="L7" s="277"/>
      <c r="M7" s="277"/>
      <c r="N7" s="277"/>
      <c r="O7" s="277"/>
      <c r="P7" s="277"/>
      <c r="Q7" s="277"/>
      <c r="R7" s="277"/>
      <c r="S7" s="277"/>
      <c r="T7" s="277"/>
      <c r="U7" s="277"/>
      <c r="V7" s="277"/>
      <c r="W7" s="277"/>
      <c r="X7" s="277"/>
      <c r="Y7" s="277"/>
      <c r="Z7" s="277"/>
      <c r="AA7" s="277"/>
      <c r="AB7" s="277"/>
      <c r="AC7" s="277"/>
      <c r="AD7" s="277"/>
      <c r="AE7" s="277"/>
      <c r="AF7" s="277"/>
      <c r="AG7" s="277"/>
      <c r="AH7" s="277"/>
      <c r="AI7" s="277"/>
      <c r="AJ7" s="279" t="s">
        <v>44</v>
      </c>
      <c r="AK7" s="277"/>
      <c r="AL7" s="277"/>
      <c r="AM7" s="277"/>
      <c r="AN7" s="277"/>
      <c r="AO7" s="277"/>
      <c r="AP7" s="277"/>
      <c r="AQ7" s="277"/>
      <c r="AR7" s="277"/>
      <c r="AS7" s="277"/>
      <c r="AT7" s="277"/>
      <c r="AU7" s="277"/>
      <c r="AV7" s="277"/>
      <c r="AW7" s="277"/>
      <c r="AX7" s="277"/>
      <c r="AY7" s="277"/>
      <c r="AZ7" s="277"/>
      <c r="BA7" s="279" t="s">
        <v>45</v>
      </c>
      <c r="BB7" s="277"/>
      <c r="BC7" s="277"/>
      <c r="BD7" s="277"/>
      <c r="BE7" s="280"/>
      <c r="BF7" s="280"/>
      <c r="BG7" s="280"/>
      <c r="BH7" s="280"/>
      <c r="BI7" s="281"/>
      <c r="BO7" s="260"/>
    </row>
    <row r="8" spans="1:80" ht="18" hidden="1" customHeight="1">
      <c r="A8" s="282"/>
      <c r="B8" s="283" t="s">
        <v>621</v>
      </c>
      <c r="C8" s="284"/>
      <c r="D8" s="283"/>
      <c r="E8" s="283"/>
      <c r="F8" s="285"/>
      <c r="G8" s="283"/>
      <c r="H8" s="283"/>
      <c r="I8" s="283"/>
      <c r="J8" s="283"/>
      <c r="K8" s="283"/>
      <c r="L8" s="286" t="s">
        <v>622</v>
      </c>
      <c r="M8" s="285"/>
      <c r="N8" s="283"/>
      <c r="O8" s="283"/>
      <c r="P8" s="283"/>
      <c r="Q8" s="283"/>
      <c r="R8" s="283"/>
      <c r="S8" s="283"/>
      <c r="T8" s="285"/>
      <c r="U8" s="283"/>
      <c r="V8" s="287"/>
      <c r="W8" s="285"/>
      <c r="X8" s="285"/>
      <c r="Y8" s="283"/>
      <c r="Z8" s="283"/>
      <c r="AA8" s="283"/>
      <c r="AB8" s="286" t="s">
        <v>46</v>
      </c>
      <c r="AC8" s="283"/>
      <c r="AD8" s="287"/>
      <c r="AE8" s="285"/>
      <c r="AF8" s="283"/>
      <c r="AG8" s="283"/>
      <c r="AH8" s="283"/>
      <c r="AI8" s="283"/>
      <c r="AJ8" s="283"/>
      <c r="AK8" s="283"/>
      <c r="AL8" s="286" t="s">
        <v>623</v>
      </c>
      <c r="AM8" s="283"/>
      <c r="AN8" s="283"/>
      <c r="AO8" s="283"/>
      <c r="AP8" s="283"/>
      <c r="AQ8" s="283"/>
      <c r="AR8" s="283"/>
      <c r="AS8" s="283"/>
      <c r="AT8" s="283"/>
      <c r="AU8" s="283"/>
      <c r="AV8" s="283"/>
      <c r="AW8" s="288"/>
      <c r="AX8" s="286" t="s">
        <v>47</v>
      </c>
      <c r="AY8" s="286"/>
      <c r="AZ8" s="283"/>
      <c r="BA8" s="283"/>
      <c r="BB8" s="289"/>
      <c r="BC8" s="290"/>
      <c r="BD8" s="291"/>
      <c r="BE8" s="289"/>
      <c r="BF8" s="289"/>
      <c r="BG8" s="289"/>
      <c r="BH8" s="289"/>
      <c r="BI8" s="292"/>
      <c r="BO8" s="260"/>
    </row>
    <row r="9" spans="1:80" ht="2.25" hidden="1" customHeight="1">
      <c r="A9" s="293"/>
      <c r="B9" s="294"/>
      <c r="C9" s="294"/>
      <c r="D9" s="294"/>
      <c r="E9" s="294"/>
      <c r="F9" s="294"/>
      <c r="G9" s="294"/>
      <c r="H9" s="294"/>
      <c r="I9" s="294"/>
      <c r="J9" s="294"/>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295"/>
      <c r="AL9" s="295"/>
      <c r="AM9" s="295"/>
      <c r="AN9" s="295"/>
      <c r="AO9" s="295"/>
      <c r="AP9" s="295"/>
      <c r="AQ9" s="295"/>
      <c r="AR9" s="295"/>
      <c r="AS9" s="295"/>
      <c r="AT9" s="295"/>
      <c r="AU9" s="295"/>
      <c r="AV9" s="295"/>
      <c r="AW9" s="295"/>
      <c r="AX9" s="295"/>
      <c r="AY9" s="295"/>
      <c r="AZ9" s="295"/>
      <c r="BA9" s="295"/>
      <c r="BB9" s="295"/>
      <c r="BC9" s="295"/>
      <c r="BD9" s="295"/>
      <c r="BE9" s="295"/>
      <c r="BF9" s="295"/>
      <c r="BG9" s="295"/>
      <c r="BH9" s="295"/>
      <c r="BI9" s="296"/>
      <c r="BO9" s="260"/>
    </row>
    <row r="10" spans="1:80" ht="12.75" hidden="1" customHeight="1">
      <c r="A10" s="261"/>
      <c r="B10" s="262" t="s">
        <v>49</v>
      </c>
      <c r="C10" s="263"/>
      <c r="D10" s="263"/>
      <c r="E10" s="263"/>
      <c r="F10" s="263"/>
      <c r="G10" s="264"/>
      <c r="H10" s="264"/>
      <c r="I10" s="264"/>
      <c r="J10" s="264"/>
      <c r="K10" s="264"/>
      <c r="L10" s="264"/>
      <c r="M10" s="264"/>
      <c r="N10" s="264"/>
      <c r="O10" s="264"/>
      <c r="P10" s="264"/>
      <c r="Q10" s="264"/>
      <c r="R10" s="264"/>
      <c r="S10" s="264"/>
      <c r="T10" s="264"/>
      <c r="U10" s="264"/>
      <c r="V10" s="264"/>
      <c r="W10" s="264"/>
      <c r="X10" s="264"/>
      <c r="Y10" s="264"/>
      <c r="Z10" s="264"/>
      <c r="AA10" s="264"/>
      <c r="AB10" s="264"/>
      <c r="AC10" s="264"/>
      <c r="AD10" s="264"/>
      <c r="AE10" s="264"/>
      <c r="AF10" s="264"/>
      <c r="AG10" s="264"/>
      <c r="AH10" s="264"/>
      <c r="AI10" s="264"/>
      <c r="AJ10" s="264"/>
      <c r="AK10" s="264"/>
      <c r="AL10" s="264"/>
      <c r="AM10" s="264"/>
      <c r="AN10" s="264"/>
      <c r="AO10" s="264"/>
      <c r="AP10" s="264"/>
      <c r="AQ10" s="264"/>
      <c r="AR10" s="264"/>
      <c r="AS10" s="264"/>
      <c r="AT10" s="264"/>
      <c r="AU10" s="264"/>
      <c r="AV10" s="264"/>
      <c r="AW10" s="264"/>
      <c r="AX10" s="264"/>
      <c r="AY10" s="264"/>
      <c r="AZ10" s="264"/>
      <c r="BA10" s="264"/>
      <c r="BB10" s="264"/>
      <c r="BC10" s="264"/>
      <c r="BD10" s="264"/>
      <c r="BE10" s="264"/>
      <c r="BF10" s="264"/>
      <c r="BG10" s="264"/>
      <c r="BH10" s="264"/>
      <c r="BI10" s="265"/>
      <c r="BO10" s="260"/>
    </row>
    <row r="11" spans="1:80" s="306" customFormat="1" ht="10.5" hidden="1" customHeight="1">
      <c r="A11" s="297"/>
      <c r="B11" s="298" t="s">
        <v>50</v>
      </c>
      <c r="C11" s="299"/>
      <c r="D11" s="300"/>
      <c r="E11" s="299"/>
      <c r="F11" s="299"/>
      <c r="G11" s="299"/>
      <c r="H11" s="299"/>
      <c r="I11" s="299"/>
      <c r="J11" s="299"/>
      <c r="K11" s="299"/>
      <c r="L11" s="299"/>
      <c r="M11" s="299"/>
      <c r="N11" s="299"/>
      <c r="O11" s="299"/>
      <c r="P11" s="299"/>
      <c r="Q11" s="299"/>
      <c r="R11" s="301" t="s">
        <v>41</v>
      </c>
      <c r="S11" s="299"/>
      <c r="T11" s="299"/>
      <c r="U11" s="299"/>
      <c r="V11" s="299"/>
      <c r="W11" s="299"/>
      <c r="X11" s="299"/>
      <c r="Y11" s="300"/>
      <c r="Z11" s="298" t="s">
        <v>42</v>
      </c>
      <c r="AA11" s="302"/>
      <c r="AB11" s="302"/>
      <c r="AC11" s="302"/>
      <c r="AD11" s="302"/>
      <c r="AE11" s="299"/>
      <c r="AF11" s="299"/>
      <c r="AG11" s="299"/>
      <c r="AH11" s="303"/>
      <c r="AI11" s="298" t="s">
        <v>46</v>
      </c>
      <c r="AJ11" s="298"/>
      <c r="AK11" s="298"/>
      <c r="AL11" s="298"/>
      <c r="AM11" s="298"/>
      <c r="AN11" s="298"/>
      <c r="AO11" s="298"/>
      <c r="AP11" s="303"/>
      <c r="AQ11" s="298" t="s">
        <v>51</v>
      </c>
      <c r="AR11" s="298"/>
      <c r="AS11" s="298"/>
      <c r="AT11" s="298"/>
      <c r="AU11" s="298"/>
      <c r="AV11" s="304"/>
      <c r="AW11" s="304"/>
      <c r="AX11" s="304"/>
      <c r="AY11" s="304"/>
      <c r="AZ11" s="304"/>
      <c r="BA11" s="304"/>
      <c r="BB11" s="304"/>
      <c r="BC11" s="304"/>
      <c r="BD11" s="304"/>
      <c r="BE11" s="304"/>
      <c r="BF11" s="304"/>
      <c r="BG11" s="304"/>
      <c r="BH11" s="304"/>
      <c r="BI11" s="305"/>
      <c r="BJ11" s="260"/>
    </row>
    <row r="12" spans="1:80" ht="15" hidden="1" customHeight="1">
      <c r="A12" s="307"/>
      <c r="B12" s="308" t="s">
        <v>52</v>
      </c>
      <c r="C12" s="308"/>
      <c r="D12" s="309"/>
      <c r="E12" s="310"/>
      <c r="F12" s="310"/>
      <c r="G12" s="310"/>
      <c r="H12" s="310"/>
      <c r="I12" s="310"/>
      <c r="J12" s="310"/>
      <c r="K12" s="310"/>
      <c r="L12" s="310"/>
      <c r="M12" s="310"/>
      <c r="N12" s="310"/>
      <c r="O12" s="310"/>
      <c r="P12" s="310"/>
      <c r="Q12" s="310"/>
      <c r="R12" s="311"/>
      <c r="S12" s="310"/>
      <c r="T12" s="310"/>
      <c r="U12" s="310"/>
      <c r="V12" s="310"/>
      <c r="W12" s="277"/>
      <c r="X12" s="277"/>
      <c r="Y12" s="312"/>
      <c r="Z12" s="277"/>
      <c r="AA12" s="277"/>
      <c r="AB12" s="277"/>
      <c r="AC12" s="277"/>
      <c r="AD12" s="277"/>
      <c r="AE12" s="277"/>
      <c r="AF12" s="277"/>
      <c r="AG12" s="277"/>
      <c r="AH12" s="312"/>
      <c r="AI12" s="277"/>
      <c r="AJ12" s="277"/>
      <c r="AK12" s="277"/>
      <c r="AL12" s="277"/>
      <c r="AM12" s="277"/>
      <c r="AN12" s="277"/>
      <c r="AO12" s="277"/>
      <c r="AP12" s="312"/>
      <c r="AQ12" s="277"/>
      <c r="AR12" s="277"/>
      <c r="AS12" s="277"/>
      <c r="AT12" s="277"/>
      <c r="AU12" s="277"/>
      <c r="AV12" s="277"/>
      <c r="AW12" s="277"/>
      <c r="AX12" s="313"/>
      <c r="AY12" s="313"/>
      <c r="AZ12" s="313"/>
      <c r="BA12" s="313"/>
      <c r="BB12" s="313"/>
      <c r="BC12" s="313"/>
      <c r="BD12" s="313"/>
      <c r="BE12" s="313"/>
      <c r="BF12" s="313"/>
      <c r="BG12" s="313"/>
      <c r="BH12" s="313"/>
      <c r="BI12" s="314"/>
      <c r="BO12" s="260"/>
    </row>
    <row r="13" spans="1:80" ht="15" hidden="1" customHeight="1">
      <c r="A13" s="276"/>
      <c r="B13" s="315" t="s">
        <v>53</v>
      </c>
      <c r="C13" s="315"/>
      <c r="D13" s="316"/>
      <c r="E13" s="277"/>
      <c r="F13" s="277"/>
      <c r="G13" s="277"/>
      <c r="H13" s="277"/>
      <c r="I13" s="277"/>
      <c r="J13" s="277"/>
      <c r="K13" s="277"/>
      <c r="L13" s="277"/>
      <c r="M13" s="277"/>
      <c r="N13" s="277"/>
      <c r="O13" s="277"/>
      <c r="P13" s="277"/>
      <c r="Q13" s="277"/>
      <c r="R13" s="279"/>
      <c r="S13" s="277"/>
      <c r="T13" s="277"/>
      <c r="U13" s="277"/>
      <c r="V13" s="277"/>
      <c r="W13" s="267"/>
      <c r="X13" s="277"/>
      <c r="Y13" s="312"/>
      <c r="Z13" s="277"/>
      <c r="AA13" s="277"/>
      <c r="AB13" s="277"/>
      <c r="AC13" s="277"/>
      <c r="AD13" s="277"/>
      <c r="AE13" s="277"/>
      <c r="AF13" s="277"/>
      <c r="AG13" s="277"/>
      <c r="AH13" s="312"/>
      <c r="AI13" s="277"/>
      <c r="AJ13" s="277"/>
      <c r="AK13" s="277"/>
      <c r="AL13" s="277"/>
      <c r="AM13" s="277"/>
      <c r="AN13" s="277"/>
      <c r="AO13" s="277"/>
      <c r="AP13" s="312"/>
      <c r="AQ13" s="277"/>
      <c r="AR13" s="277"/>
      <c r="AS13" s="277"/>
      <c r="AT13" s="277"/>
      <c r="AU13" s="277"/>
      <c r="AV13" s="277"/>
      <c r="AW13" s="277"/>
      <c r="AX13" s="313"/>
      <c r="AY13" s="313"/>
      <c r="AZ13" s="313"/>
      <c r="BA13" s="313"/>
      <c r="BB13" s="313"/>
      <c r="BC13" s="313"/>
      <c r="BD13" s="313"/>
      <c r="BE13" s="313"/>
      <c r="BF13" s="313"/>
      <c r="BG13" s="313"/>
      <c r="BH13" s="313"/>
      <c r="BI13" s="314"/>
      <c r="BO13" s="260"/>
    </row>
    <row r="14" spans="1:80" ht="15" hidden="1" customHeight="1">
      <c r="A14" s="307"/>
      <c r="B14" s="308" t="s">
        <v>54</v>
      </c>
      <c r="C14" s="308"/>
      <c r="D14" s="309"/>
      <c r="E14" s="310"/>
      <c r="F14" s="310"/>
      <c r="G14" s="310"/>
      <c r="H14" s="310"/>
      <c r="I14" s="310"/>
      <c r="J14" s="310"/>
      <c r="K14" s="310"/>
      <c r="L14" s="310"/>
      <c r="M14" s="310"/>
      <c r="N14" s="310"/>
      <c r="O14" s="310"/>
      <c r="P14" s="310"/>
      <c r="Q14" s="310"/>
      <c r="R14" s="311"/>
      <c r="S14" s="310"/>
      <c r="T14" s="310"/>
      <c r="U14" s="310"/>
      <c r="V14" s="310"/>
      <c r="W14" s="310"/>
      <c r="X14" s="310"/>
      <c r="Y14" s="317"/>
      <c r="Z14" s="310"/>
      <c r="AA14" s="310"/>
      <c r="AB14" s="310"/>
      <c r="AC14" s="310"/>
      <c r="AD14" s="310"/>
      <c r="AE14" s="310"/>
      <c r="AF14" s="310"/>
      <c r="AG14" s="310"/>
      <c r="AH14" s="317"/>
      <c r="AI14" s="310"/>
      <c r="AJ14" s="310"/>
      <c r="AK14" s="310"/>
      <c r="AL14" s="310"/>
      <c r="AM14" s="310"/>
      <c r="AN14" s="310"/>
      <c r="AO14" s="310"/>
      <c r="AP14" s="317"/>
      <c r="AQ14" s="310"/>
      <c r="AR14" s="310"/>
      <c r="AS14" s="310"/>
      <c r="AT14" s="310"/>
      <c r="AU14" s="310"/>
      <c r="AV14" s="310"/>
      <c r="AW14" s="310"/>
      <c r="AX14" s="287"/>
      <c r="AY14" s="287"/>
      <c r="AZ14" s="287"/>
      <c r="BA14" s="287"/>
      <c r="BB14" s="287"/>
      <c r="BC14" s="287"/>
      <c r="BD14" s="287"/>
      <c r="BE14" s="287"/>
      <c r="BF14" s="287"/>
      <c r="BG14" s="287"/>
      <c r="BH14" s="287"/>
      <c r="BI14" s="318"/>
      <c r="BO14" s="260"/>
    </row>
    <row r="15" spans="1:80" ht="14.25" customHeight="1">
      <c r="A15" s="319"/>
      <c r="B15" s="320" t="s">
        <v>55</v>
      </c>
      <c r="C15" s="321"/>
      <c r="D15" s="321"/>
      <c r="E15" s="321"/>
      <c r="F15" s="321"/>
      <c r="G15" s="322"/>
      <c r="H15" s="322"/>
      <c r="I15" s="322"/>
      <c r="J15" s="322"/>
      <c r="K15" s="322"/>
      <c r="L15" s="322"/>
      <c r="M15" s="322"/>
      <c r="N15" s="322"/>
      <c r="O15" s="322"/>
      <c r="P15" s="322"/>
      <c r="Q15" s="322"/>
      <c r="R15" s="322"/>
      <c r="S15" s="322"/>
      <c r="T15" s="322"/>
      <c r="U15" s="322"/>
      <c r="V15" s="322"/>
      <c r="W15" s="323"/>
      <c r="X15" s="323"/>
      <c r="Y15" s="323"/>
      <c r="Z15" s="323"/>
      <c r="AA15" s="323"/>
      <c r="AB15" s="323"/>
      <c r="AC15" s="323"/>
      <c r="AD15" s="323"/>
      <c r="AE15" s="323"/>
      <c r="AF15" s="323"/>
      <c r="AG15" s="323"/>
      <c r="AH15" s="323"/>
      <c r="AI15" s="323"/>
      <c r="AJ15" s="323"/>
      <c r="AK15" s="323"/>
      <c r="AL15" s="323"/>
      <c r="AM15" s="323"/>
      <c r="AN15" s="323"/>
      <c r="AO15" s="323"/>
      <c r="AP15" s="323"/>
      <c r="AQ15" s="323"/>
      <c r="AR15" s="323"/>
      <c r="AS15" s="323"/>
      <c r="AT15" s="324"/>
      <c r="AU15" s="323"/>
      <c r="AV15" s="323"/>
      <c r="AW15" s="323"/>
      <c r="AX15" s="323"/>
      <c r="AY15" s="323"/>
      <c r="AZ15" s="323"/>
      <c r="BA15" s="323"/>
      <c r="BB15" s="323"/>
      <c r="BC15" s="323"/>
      <c r="BD15" s="323"/>
      <c r="BE15" s="323"/>
      <c r="BF15" s="323"/>
      <c r="BG15" s="323"/>
      <c r="BH15" s="323"/>
      <c r="BI15" s="325"/>
      <c r="BO15" s="260"/>
    </row>
    <row r="16" spans="1:80" ht="3" customHeight="1">
      <c r="A16" s="326"/>
      <c r="B16" s="285"/>
      <c r="C16" s="285"/>
      <c r="D16" s="285"/>
      <c r="E16" s="285"/>
      <c r="F16" s="285"/>
      <c r="G16" s="285"/>
      <c r="H16" s="285"/>
      <c r="I16" s="285"/>
      <c r="J16" s="285"/>
      <c r="K16" s="285"/>
      <c r="L16" s="285"/>
      <c r="M16" s="285"/>
      <c r="N16" s="285"/>
      <c r="O16" s="283"/>
      <c r="P16" s="283"/>
      <c r="Q16" s="283"/>
      <c r="R16" s="283"/>
      <c r="S16" s="283"/>
      <c r="T16" s="283"/>
      <c r="U16" s="283"/>
      <c r="V16" s="283"/>
      <c r="W16" s="285"/>
      <c r="X16" s="285"/>
      <c r="Y16" s="285"/>
      <c r="Z16" s="285"/>
      <c r="AA16" s="285"/>
      <c r="AB16" s="285"/>
      <c r="AC16" s="285"/>
      <c r="AD16" s="285"/>
      <c r="AE16" s="285"/>
      <c r="AF16" s="285"/>
      <c r="AG16" s="285"/>
      <c r="AH16" s="285"/>
      <c r="AI16" s="285"/>
      <c r="AJ16" s="285"/>
      <c r="AK16" s="285"/>
      <c r="AL16" s="285"/>
      <c r="AM16" s="285"/>
      <c r="AN16" s="285"/>
      <c r="AO16" s="285"/>
      <c r="AP16" s="285"/>
      <c r="AQ16" s="285"/>
      <c r="AR16" s="285"/>
      <c r="AS16" s="285"/>
      <c r="AT16" s="327"/>
      <c r="AU16" s="285"/>
      <c r="AV16" s="285"/>
      <c r="AW16" s="285"/>
      <c r="AX16" s="285"/>
      <c r="AY16" s="285"/>
      <c r="AZ16" s="285"/>
      <c r="BA16" s="285"/>
      <c r="BB16" s="285"/>
      <c r="BC16" s="285"/>
      <c r="BD16" s="285"/>
      <c r="BE16" s="285"/>
      <c r="BF16" s="285"/>
      <c r="BG16" s="285"/>
      <c r="BH16" s="285"/>
      <c r="BI16" s="328"/>
      <c r="BO16" s="260"/>
    </row>
    <row r="17" spans="1:72" ht="9.75" customHeight="1">
      <c r="A17" s="307"/>
      <c r="D17" s="329" t="s">
        <v>56</v>
      </c>
      <c r="E17" s="329"/>
      <c r="F17" s="329"/>
      <c r="G17" s="329"/>
      <c r="H17" s="329"/>
      <c r="I17" s="329"/>
      <c r="J17" s="329"/>
      <c r="O17" s="330"/>
      <c r="W17" s="331"/>
      <c r="X17" s="330"/>
      <c r="Y17" s="332"/>
      <c r="Z17" s="330"/>
      <c r="AA17" s="330"/>
      <c r="AB17" s="333" t="s">
        <v>624</v>
      </c>
      <c r="AC17" s="1562">
        <f ca="1">IF(test="o.k.",IF(AND(D18=1,F18=1),AR18-H18+1,AR18-H18),"?")</f>
        <v>5</v>
      </c>
      <c r="AD17" s="1563"/>
      <c r="AE17" s="1564"/>
      <c r="AL17" s="530"/>
      <c r="AM17" s="530"/>
      <c r="AN17" s="329" t="s">
        <v>682</v>
      </c>
      <c r="AO17" s="329"/>
      <c r="AP17" s="329"/>
      <c r="AQ17" s="329"/>
      <c r="AR17" s="329"/>
      <c r="AS17" s="329"/>
      <c r="AT17" s="329"/>
      <c r="AV17" s="530"/>
      <c r="AW17" s="530"/>
      <c r="AX17" s="530"/>
      <c r="AY17" s="530"/>
      <c r="AZ17" s="530"/>
      <c r="BA17" s="530"/>
      <c r="BB17" s="530"/>
      <c r="BC17" s="530"/>
      <c r="BD17" s="530"/>
      <c r="BE17" s="530"/>
      <c r="BF17" s="530"/>
      <c r="BG17" s="530"/>
      <c r="BH17" s="530"/>
      <c r="BI17" s="334"/>
      <c r="BJ17" s="335"/>
      <c r="BK17" s="310"/>
      <c r="BO17" s="260"/>
    </row>
    <row r="18" spans="1:72" ht="13.5" customHeight="1">
      <c r="A18" s="336"/>
      <c r="D18" s="1556">
        <f ca="1">IF(test="O.K.",DAY(RCD),"?")</f>
        <v>4</v>
      </c>
      <c r="E18" s="1556"/>
      <c r="F18" s="1556">
        <f ca="1">IF(test="O.K.",MONTH(RCD),"?")</f>
        <v>1</v>
      </c>
      <c r="G18" s="1556"/>
      <c r="H18" s="1561">
        <f ca="1">IF(test="O.K.",YEAR(RCD),"?")</f>
        <v>2022</v>
      </c>
      <c r="I18" s="1561"/>
      <c r="J18" s="1561"/>
      <c r="K18" s="1561"/>
      <c r="O18" s="337"/>
      <c r="W18" s="310"/>
      <c r="X18" s="338"/>
      <c r="Y18" s="310"/>
      <c r="Z18" s="338"/>
      <c r="AA18" s="338"/>
      <c r="AB18" s="339" t="s">
        <v>625</v>
      </c>
      <c r="AC18" s="1565"/>
      <c r="AD18" s="1566"/>
      <c r="AE18" s="1567"/>
      <c r="AL18" s="530"/>
      <c r="AM18" s="530"/>
      <c r="AN18" s="1556">
        <f ca="1">IF(test="O.K.",DAY(Poistné!$C$7),"?")</f>
        <v>3</v>
      </c>
      <c r="AO18" s="1556"/>
      <c r="AP18" s="1556">
        <f ca="1">IF(test="O.K.",MONTH(Poistné!$C$7),"?")</f>
        <v>1</v>
      </c>
      <c r="AQ18" s="1556"/>
      <c r="AR18" s="1561">
        <f ca="1">IF(test="O.K.",YEAR(Poistné!$C$7),"?")</f>
        <v>2027</v>
      </c>
      <c r="AS18" s="1561"/>
      <c r="AT18" s="1561"/>
      <c r="AU18" s="1561"/>
      <c r="AV18" s="530"/>
      <c r="AW18" s="530"/>
      <c r="AX18" s="530"/>
      <c r="AY18" s="530"/>
      <c r="AZ18" s="530"/>
      <c r="BA18" s="530"/>
      <c r="BB18" s="530"/>
      <c r="BC18" s="530"/>
      <c r="BD18" s="530"/>
      <c r="BE18" s="530"/>
      <c r="BF18" s="530"/>
      <c r="BG18" s="530"/>
      <c r="BH18" s="530"/>
      <c r="BI18" s="334"/>
      <c r="BJ18" s="287"/>
      <c r="BK18" s="310"/>
      <c r="BL18" s="287"/>
      <c r="BM18" s="287"/>
      <c r="BN18" s="287"/>
      <c r="BO18" s="287"/>
      <c r="BP18" s="287"/>
      <c r="BQ18" s="287"/>
      <c r="BR18" s="287"/>
      <c r="BS18" s="287"/>
      <c r="BT18" s="287"/>
    </row>
    <row r="19" spans="1:72" ht="4.5" customHeight="1">
      <c r="A19" s="266"/>
      <c r="B19" s="267"/>
      <c r="C19" s="268"/>
      <c r="D19" s="267"/>
      <c r="E19" s="267"/>
      <c r="F19" s="267"/>
      <c r="G19" s="267"/>
      <c r="H19" s="267"/>
      <c r="I19" s="267"/>
      <c r="J19" s="340"/>
      <c r="K19" s="267"/>
      <c r="L19" s="267"/>
      <c r="M19" s="267"/>
      <c r="N19" s="267"/>
      <c r="O19" s="267"/>
      <c r="P19" s="267"/>
      <c r="Q19" s="267"/>
      <c r="R19" s="267"/>
      <c r="S19" s="267"/>
      <c r="T19" s="531"/>
      <c r="U19" s="531"/>
      <c r="V19" s="531"/>
      <c r="W19" s="531"/>
      <c r="X19" s="531"/>
      <c r="Y19" s="531"/>
      <c r="Z19" s="531"/>
      <c r="AA19" s="531"/>
      <c r="AB19" s="531"/>
      <c r="AC19" s="531"/>
      <c r="AD19" s="531"/>
      <c r="AE19" s="531"/>
      <c r="AF19" s="531"/>
      <c r="AG19" s="531"/>
      <c r="AH19" s="531"/>
      <c r="AI19" s="531"/>
      <c r="AJ19" s="531"/>
      <c r="AK19" s="531"/>
      <c r="AL19" s="531"/>
      <c r="AM19" s="531"/>
      <c r="AN19" s="531"/>
      <c r="AO19" s="531"/>
      <c r="AP19" s="531"/>
      <c r="AQ19" s="531"/>
      <c r="AR19" s="531"/>
      <c r="AS19" s="531"/>
      <c r="AT19" s="531"/>
      <c r="AU19" s="531"/>
      <c r="AV19" s="531"/>
      <c r="AW19" s="531"/>
      <c r="AX19" s="531"/>
      <c r="AY19" s="531"/>
      <c r="AZ19" s="531"/>
      <c r="BA19" s="531"/>
      <c r="BB19" s="531"/>
      <c r="BC19" s="531"/>
      <c r="BD19" s="531"/>
      <c r="BE19" s="531"/>
      <c r="BF19" s="531"/>
      <c r="BG19" s="531"/>
      <c r="BH19" s="531"/>
      <c r="BI19" s="341"/>
      <c r="BO19" s="260"/>
    </row>
    <row r="20" spans="1:72" ht="10.5" customHeight="1">
      <c r="A20" s="307"/>
      <c r="B20" s="310" t="s">
        <v>57</v>
      </c>
      <c r="C20" s="329"/>
      <c r="D20" s="310"/>
      <c r="E20" s="310"/>
      <c r="F20" s="310"/>
      <c r="G20" s="310"/>
      <c r="H20" s="310"/>
      <c r="I20" s="310"/>
      <c r="J20" s="310"/>
      <c r="K20" s="310"/>
      <c r="L20" s="310"/>
      <c r="M20" s="310"/>
      <c r="N20" s="310"/>
      <c r="O20" s="310"/>
      <c r="P20" s="310"/>
      <c r="Q20" s="310"/>
      <c r="R20" s="310"/>
      <c r="S20" s="310"/>
      <c r="T20" s="310"/>
      <c r="U20" s="310"/>
      <c r="V20" s="310"/>
      <c r="W20" s="310"/>
      <c r="X20" s="310"/>
      <c r="Y20" s="310"/>
      <c r="Z20" s="310"/>
      <c r="AA20" s="342"/>
      <c r="AB20" s="342"/>
      <c r="AC20" s="342"/>
      <c r="AD20" s="311" t="s">
        <v>58</v>
      </c>
      <c r="AE20" s="310"/>
      <c r="AF20" s="310"/>
      <c r="AG20" s="310"/>
      <c r="AH20" s="310"/>
      <c r="AI20" s="310"/>
      <c r="AJ20" s="310"/>
      <c r="AK20" s="310"/>
      <c r="AL20" s="310"/>
      <c r="AM20" s="310"/>
      <c r="AN20" s="310"/>
      <c r="AO20" s="310"/>
      <c r="AP20" s="310"/>
      <c r="AQ20" s="310"/>
      <c r="AR20" s="310"/>
      <c r="AS20" s="310"/>
      <c r="AT20" s="310"/>
      <c r="AU20" s="310"/>
      <c r="AV20" s="310"/>
      <c r="AW20" s="310"/>
      <c r="AX20" s="310"/>
      <c r="AY20" s="310"/>
      <c r="AZ20" s="310"/>
      <c r="BA20" s="310"/>
      <c r="BB20" s="310"/>
      <c r="BC20" s="310"/>
      <c r="BD20" s="310"/>
      <c r="BE20" s="310"/>
      <c r="BF20" s="310"/>
      <c r="BG20" s="310"/>
      <c r="BH20" s="342"/>
      <c r="BI20" s="343"/>
      <c r="BO20" s="260"/>
    </row>
    <row r="21" spans="1:72" ht="10.5" customHeight="1">
      <c r="A21" s="307"/>
      <c r="B21" s="310"/>
      <c r="C21" s="329"/>
      <c r="D21" s="310"/>
      <c r="E21" s="310"/>
      <c r="F21" s="310"/>
      <c r="G21" s="310"/>
      <c r="H21" s="310"/>
      <c r="I21" s="310"/>
      <c r="J21" s="310"/>
      <c r="K21" s="310"/>
      <c r="L21" s="310"/>
      <c r="M21" s="310"/>
      <c r="N21" s="310"/>
      <c r="O21" s="310"/>
      <c r="P21" s="310"/>
      <c r="Q21" s="310"/>
      <c r="R21" s="310"/>
      <c r="S21" s="310"/>
      <c r="T21" s="310"/>
      <c r="U21" s="310"/>
      <c r="V21" s="310"/>
      <c r="W21" s="310"/>
      <c r="X21" s="310"/>
      <c r="Y21" s="310"/>
      <c r="Z21" s="310"/>
      <c r="AA21" s="342"/>
      <c r="AB21" s="342"/>
      <c r="AC21" s="344"/>
      <c r="AD21" s="1559" t="s">
        <v>626</v>
      </c>
      <c r="AE21" s="1560"/>
      <c r="AF21" s="1560"/>
      <c r="AG21" s="1560"/>
      <c r="AH21" s="1560"/>
      <c r="AI21" s="1560"/>
      <c r="AJ21" s="1560"/>
      <c r="AK21" s="1560"/>
      <c r="AL21" s="1560"/>
      <c r="AM21" s="1560"/>
      <c r="AN21" s="1560"/>
      <c r="AO21" s="1560"/>
      <c r="AP21" s="1560"/>
      <c r="AQ21" s="1560"/>
      <c r="AR21" s="1560"/>
      <c r="AS21" s="1560"/>
      <c r="AT21" s="1560"/>
      <c r="AU21" s="1560"/>
      <c r="AV21" s="1560"/>
      <c r="AW21" s="1560"/>
      <c r="AX21" s="1560"/>
      <c r="AY21" s="1560"/>
      <c r="AZ21" s="1560"/>
      <c r="BA21" s="1560"/>
      <c r="BB21" s="1560"/>
      <c r="BC21" s="1560"/>
      <c r="BD21" s="1560"/>
      <c r="BE21" s="1560"/>
      <c r="BF21" s="1560"/>
      <c r="BG21" s="310"/>
      <c r="BH21" s="342"/>
      <c r="BI21" s="343"/>
      <c r="BN21" s="345"/>
      <c r="BO21" s="260"/>
    </row>
    <row r="22" spans="1:72" ht="15.75" customHeight="1">
      <c r="A22" s="307"/>
      <c r="B22" s="310" t="s">
        <v>59</v>
      </c>
      <c r="C22" s="329"/>
      <c r="D22" s="310"/>
      <c r="E22" s="310"/>
      <c r="F22" s="310"/>
      <c r="G22" s="310"/>
      <c r="H22" s="310"/>
      <c r="I22" s="310"/>
      <c r="J22" s="310"/>
      <c r="K22" s="310"/>
      <c r="L22" s="310"/>
      <c r="M22" s="310"/>
      <c r="N22" s="310"/>
      <c r="O22" s="310"/>
      <c r="P22" s="310"/>
      <c r="Q22" s="310"/>
      <c r="R22" s="310"/>
      <c r="S22" s="310"/>
      <c r="T22" s="310"/>
      <c r="U22" s="310"/>
      <c r="V22" s="310"/>
      <c r="W22" s="310"/>
      <c r="X22" s="310"/>
      <c r="Y22" s="287"/>
      <c r="Z22" s="346" t="s">
        <v>649</v>
      </c>
      <c r="AA22" s="342"/>
      <c r="AB22" s="342"/>
      <c r="AC22" s="344"/>
      <c r="AD22" s="347"/>
      <c r="AE22" s="346"/>
      <c r="AF22" s="346"/>
      <c r="AG22" s="346"/>
      <c r="AH22" s="346"/>
      <c r="AI22" s="346"/>
      <c r="AJ22" s="346"/>
      <c r="AK22" s="346"/>
      <c r="AL22" s="346"/>
      <c r="AM22" s="346"/>
      <c r="AN22" s="346"/>
      <c r="AO22" s="346"/>
      <c r="AP22" s="346"/>
      <c r="AQ22" s="346"/>
      <c r="AR22" s="346"/>
      <c r="AS22" s="346"/>
      <c r="AT22" s="346"/>
      <c r="AU22" s="346"/>
      <c r="AV22" s="346"/>
      <c r="AW22" s="346"/>
      <c r="AX22" s="346"/>
      <c r="AY22" s="346"/>
      <c r="AZ22" s="346"/>
      <c r="BA22" s="346"/>
      <c r="BB22" s="346"/>
      <c r="BC22" s="346"/>
      <c r="BD22" s="346"/>
      <c r="BE22" s="346"/>
      <c r="BF22" s="287"/>
      <c r="BG22" s="348" t="s">
        <v>650</v>
      </c>
      <c r="BH22" s="302"/>
      <c r="BI22" s="343"/>
      <c r="BO22" s="260"/>
    </row>
    <row r="23" spans="1:72" ht="2.25" customHeight="1">
      <c r="A23" s="349"/>
      <c r="B23" s="350"/>
      <c r="C23" s="351"/>
      <c r="D23" s="350"/>
      <c r="E23" s="350"/>
      <c r="F23" s="350"/>
      <c r="G23" s="350"/>
      <c r="H23" s="350"/>
      <c r="I23" s="350"/>
      <c r="J23" s="350"/>
      <c r="K23" s="350"/>
      <c r="L23" s="350"/>
      <c r="M23" s="350"/>
      <c r="N23" s="350"/>
      <c r="O23" s="350"/>
      <c r="P23" s="350"/>
      <c r="Q23" s="350"/>
      <c r="R23" s="350"/>
      <c r="S23" s="350"/>
      <c r="T23" s="350"/>
      <c r="U23" s="350"/>
      <c r="V23" s="350"/>
      <c r="W23" s="352" t="s">
        <v>79</v>
      </c>
      <c r="X23" s="352"/>
      <c r="Y23" s="352"/>
      <c r="Z23" s="352"/>
      <c r="AA23" s="352"/>
      <c r="AB23" s="352"/>
      <c r="AC23" s="352"/>
      <c r="AD23" s="352"/>
      <c r="AE23" s="352"/>
      <c r="AF23" s="352"/>
      <c r="AG23" s="352"/>
      <c r="AH23" s="352"/>
      <c r="AI23" s="352"/>
      <c r="AJ23" s="352"/>
      <c r="AK23" s="352"/>
      <c r="AL23" s="352"/>
      <c r="AM23" s="352"/>
      <c r="AN23" s="352"/>
      <c r="AO23" s="352"/>
      <c r="AP23" s="352"/>
      <c r="AQ23" s="352"/>
      <c r="AR23" s="352"/>
      <c r="AS23" s="352"/>
      <c r="AT23" s="352"/>
      <c r="AU23" s="352"/>
      <c r="AV23" s="352"/>
      <c r="AW23" s="352"/>
      <c r="AX23" s="352"/>
      <c r="AY23" s="352"/>
      <c r="AZ23" s="352"/>
      <c r="BA23" s="352"/>
      <c r="BB23" s="352"/>
      <c r="BC23" s="352"/>
      <c r="BD23" s="352"/>
      <c r="BE23" s="352"/>
      <c r="BF23" s="352"/>
      <c r="BG23" s="352"/>
      <c r="BH23" s="352"/>
      <c r="BI23" s="353"/>
      <c r="BO23" s="260"/>
    </row>
    <row r="24" spans="1:72" ht="11.25" customHeight="1">
      <c r="A24" s="354"/>
      <c r="B24" s="355" t="s">
        <v>627</v>
      </c>
      <c r="C24" s="356"/>
      <c r="D24" s="357"/>
      <c r="E24" s="357"/>
      <c r="F24" s="357"/>
      <c r="G24" s="357"/>
      <c r="H24" s="357"/>
      <c r="I24" s="357"/>
      <c r="J24" s="357"/>
      <c r="K24" s="357"/>
      <c r="L24" s="357"/>
      <c r="M24" s="357"/>
      <c r="N24" s="357"/>
      <c r="O24" s="357"/>
      <c r="P24" s="357"/>
      <c r="Q24" s="357"/>
      <c r="R24" s="357"/>
      <c r="S24" s="357"/>
      <c r="T24" s="357"/>
      <c r="U24" s="357"/>
      <c r="V24" s="357"/>
      <c r="W24" s="357"/>
      <c r="X24" s="357"/>
      <c r="Y24" s="357"/>
      <c r="Z24" s="357"/>
      <c r="AA24" s="357"/>
      <c r="AB24" s="357"/>
      <c r="AC24" s="357"/>
      <c r="AD24" s="357"/>
      <c r="AE24" s="357"/>
      <c r="AF24" s="357"/>
      <c r="AG24" s="357"/>
      <c r="AH24" s="357"/>
      <c r="AI24" s="357"/>
      <c r="AJ24" s="357"/>
      <c r="AK24" s="357"/>
      <c r="AL24" s="357"/>
      <c r="AM24" s="357"/>
      <c r="AN24" s="357"/>
      <c r="AO24" s="357"/>
      <c r="AP24" s="357"/>
      <c r="AQ24" s="357"/>
      <c r="AR24" s="357"/>
      <c r="AS24" s="357"/>
      <c r="AT24" s="357"/>
      <c r="AU24" s="357"/>
      <c r="AV24" s="357"/>
      <c r="AW24" s="357"/>
      <c r="AX24" s="357"/>
      <c r="AY24" s="357"/>
      <c r="AZ24" s="357"/>
      <c r="BA24" s="357"/>
      <c r="BB24" s="357"/>
      <c r="BC24" s="357"/>
      <c r="BD24" s="357"/>
      <c r="BE24" s="357"/>
      <c r="BF24" s="357"/>
      <c r="BG24" s="357"/>
      <c r="BH24" s="357"/>
      <c r="BI24" s="358"/>
      <c r="BK24" s="287"/>
      <c r="BO24" s="260"/>
    </row>
    <row r="25" spans="1:72" ht="3.9" customHeight="1">
      <c r="A25" s="359"/>
      <c r="B25" s="287"/>
      <c r="C25" s="360"/>
      <c r="D25" s="287"/>
      <c r="E25" s="287"/>
      <c r="F25" s="287"/>
      <c r="G25" s="287"/>
      <c r="H25" s="287"/>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318"/>
      <c r="BK25" s="361"/>
      <c r="BO25" s="260"/>
    </row>
    <row r="26" spans="1:72" ht="12" customHeight="1">
      <c r="A26" s="359"/>
      <c r="B26" s="360" t="s">
        <v>63</v>
      </c>
      <c r="C26" s="287"/>
      <c r="D26" s="287"/>
      <c r="E26" s="287"/>
      <c r="F26" s="287"/>
      <c r="G26" s="287"/>
      <c r="H26" s="287"/>
      <c r="I26" s="287"/>
      <c r="J26" s="287"/>
      <c r="K26" s="287"/>
      <c r="L26" s="287"/>
      <c r="M26" s="287"/>
      <c r="N26" s="287"/>
      <c r="O26" s="362" t="str">
        <f>IF(t=1,"X","")</f>
        <v/>
      </c>
      <c r="P26" s="287" t="s">
        <v>64</v>
      </c>
      <c r="Q26" s="287"/>
      <c r="R26" s="287"/>
      <c r="S26" s="287"/>
      <c r="T26" s="287"/>
      <c r="U26" s="362" t="str">
        <f>IF(t=2,"X","")</f>
        <v>X</v>
      </c>
      <c r="V26" s="287" t="s">
        <v>65</v>
      </c>
      <c r="W26" s="287"/>
      <c r="X26" s="287"/>
      <c r="Y26" s="287"/>
      <c r="Z26" s="287"/>
      <c r="AA26" s="362" t="str">
        <f>IF(t=4,"X","")</f>
        <v/>
      </c>
      <c r="AB26" s="287" t="s">
        <v>66</v>
      </c>
      <c r="AC26" s="287"/>
      <c r="AD26" s="287"/>
      <c r="AE26" s="287"/>
      <c r="AF26" s="287"/>
      <c r="AG26" s="362" t="str">
        <f>IF(t=12,"X","")</f>
        <v/>
      </c>
      <c r="AH26" s="287" t="s">
        <v>67</v>
      </c>
      <c r="AI26" s="287"/>
      <c r="AJ26" s="287"/>
      <c r="AK26" s="287"/>
      <c r="AL26" s="287"/>
      <c r="AM26" s="287"/>
      <c r="AN26" s="363" t="s">
        <v>68</v>
      </c>
      <c r="AO26" s="360"/>
      <c r="AP26" s="287"/>
      <c r="AQ26" s="287"/>
      <c r="AR26" s="364"/>
      <c r="AS26" s="287"/>
      <c r="AT26" s="287"/>
      <c r="AU26" s="287"/>
      <c r="AV26" s="287"/>
      <c r="AW26" s="287"/>
      <c r="AX26" s="287"/>
      <c r="AY26" s="362" t="str">
        <f>IF(Poistné!C9="príkazom z účtu","X","")</f>
        <v/>
      </c>
      <c r="AZ26" s="287" t="s">
        <v>69</v>
      </c>
      <c r="BA26" s="287"/>
      <c r="BB26" s="287"/>
      <c r="BC26" s="287"/>
      <c r="BD26" s="287"/>
      <c r="BE26" s="287"/>
      <c r="BF26" s="287"/>
      <c r="BG26" s="287"/>
      <c r="BH26" s="287"/>
      <c r="BI26" s="318"/>
      <c r="BJ26" s="361"/>
      <c r="BO26" s="260"/>
    </row>
    <row r="27" spans="1:72" ht="3" customHeight="1">
      <c r="A27" s="359"/>
      <c r="B27" s="287"/>
      <c r="C27" s="287"/>
      <c r="D27" s="287"/>
      <c r="E27" s="287"/>
      <c r="F27" s="287"/>
      <c r="G27" s="287"/>
      <c r="H27" s="287"/>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318"/>
      <c r="BK27" s="361"/>
      <c r="BO27" s="260"/>
    </row>
    <row r="28" spans="1:72" ht="12" customHeight="1">
      <c r="A28" s="359"/>
      <c r="B28" s="365" t="s">
        <v>628</v>
      </c>
      <c r="C28" s="360"/>
      <c r="D28" s="287"/>
      <c r="E28" s="287"/>
      <c r="F28" s="287"/>
      <c r="G28" s="287"/>
      <c r="H28" s="287"/>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362" t="str">
        <f>IF(Poistné!C9="poštovou poukážkou","X","")</f>
        <v/>
      </c>
      <c r="AZ28" s="287" t="s">
        <v>70</v>
      </c>
      <c r="BA28" s="287"/>
      <c r="BB28" s="287"/>
      <c r="BC28" s="287"/>
      <c r="BD28" s="287"/>
      <c r="BE28" s="287"/>
      <c r="BF28" s="287"/>
      <c r="BG28" s="287"/>
      <c r="BH28" s="287"/>
      <c r="BI28" s="318"/>
      <c r="BK28" s="361"/>
      <c r="BM28" s="287"/>
      <c r="BO28" s="260"/>
    </row>
    <row r="29" spans="1:72" ht="3.75" customHeight="1">
      <c r="A29" s="359"/>
      <c r="B29" s="287"/>
      <c r="C29" s="360"/>
      <c r="D29" s="360"/>
      <c r="E29" s="360"/>
      <c r="F29" s="360"/>
      <c r="G29" s="360"/>
      <c r="H29" s="360"/>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318"/>
      <c r="BJ29" s="287"/>
      <c r="BK29" s="287"/>
      <c r="BL29" s="287"/>
      <c r="BM29" s="287"/>
    </row>
    <row r="30" spans="1:72" ht="2.25" customHeight="1">
      <c r="A30" s="349"/>
      <c r="B30" s="350"/>
      <c r="C30" s="351"/>
      <c r="D30" s="350"/>
      <c r="E30" s="350"/>
      <c r="F30" s="350"/>
      <c r="G30" s="350"/>
      <c r="H30" s="350"/>
      <c r="I30" s="350"/>
      <c r="J30" s="350"/>
      <c r="K30" s="350"/>
      <c r="L30" s="350"/>
      <c r="M30" s="350"/>
      <c r="N30" s="350"/>
      <c r="O30" s="350"/>
      <c r="P30" s="350"/>
      <c r="Q30" s="350"/>
      <c r="R30" s="350"/>
      <c r="S30" s="350"/>
      <c r="T30" s="350"/>
      <c r="U30" s="350"/>
      <c r="V30" s="350"/>
      <c r="W30" s="352"/>
      <c r="X30" s="352"/>
      <c r="Y30" s="352"/>
      <c r="Z30" s="352"/>
      <c r="AA30" s="352"/>
      <c r="AB30" s="352"/>
      <c r="AC30" s="352"/>
      <c r="AD30" s="352"/>
      <c r="AE30" s="352"/>
      <c r="AF30" s="352"/>
      <c r="AG30" s="352"/>
      <c r="AH30" s="352"/>
      <c r="AI30" s="352"/>
      <c r="AJ30" s="352"/>
      <c r="AK30" s="352"/>
      <c r="AL30" s="352"/>
      <c r="AM30" s="352"/>
      <c r="AN30" s="352"/>
      <c r="AO30" s="352"/>
      <c r="AP30" s="352"/>
      <c r="AQ30" s="352"/>
      <c r="AR30" s="352"/>
      <c r="AS30" s="352"/>
      <c r="AT30" s="352"/>
      <c r="AU30" s="352"/>
      <c r="AV30" s="352"/>
      <c r="AW30" s="352"/>
      <c r="AX30" s="352"/>
      <c r="AY30" s="352"/>
      <c r="AZ30" s="352"/>
      <c r="BA30" s="352"/>
      <c r="BB30" s="352"/>
      <c r="BC30" s="352"/>
      <c r="BD30" s="352"/>
      <c r="BE30" s="352"/>
      <c r="BF30" s="352"/>
      <c r="BG30" s="352"/>
      <c r="BH30" s="352"/>
      <c r="BI30" s="353"/>
      <c r="BO30" s="260"/>
    </row>
    <row r="31" spans="1:72" ht="12">
      <c r="A31" s="366"/>
      <c r="B31" s="355" t="s">
        <v>657</v>
      </c>
      <c r="C31" s="356"/>
      <c r="D31" s="356"/>
      <c r="E31" s="356"/>
      <c r="F31" s="356"/>
      <c r="G31" s="357"/>
      <c r="H31" s="357"/>
      <c r="I31" s="357"/>
      <c r="J31" s="357"/>
      <c r="K31" s="357"/>
      <c r="L31" s="357"/>
      <c r="M31" s="357"/>
      <c r="N31" s="357"/>
      <c r="O31" s="357"/>
      <c r="P31" s="357"/>
      <c r="Q31" s="357"/>
      <c r="R31" s="357"/>
      <c r="S31" s="357"/>
      <c r="T31" s="357"/>
      <c r="U31" s="357"/>
      <c r="V31" s="357"/>
      <c r="W31" s="367"/>
      <c r="X31" s="367"/>
      <c r="Y31" s="367"/>
      <c r="Z31" s="367"/>
      <c r="AA31" s="367"/>
      <c r="AB31" s="367"/>
      <c r="AC31" s="367"/>
      <c r="AD31" s="367"/>
      <c r="AE31" s="367"/>
      <c r="AF31" s="367"/>
      <c r="AG31" s="367"/>
      <c r="AH31" s="367"/>
      <c r="AI31" s="367"/>
      <c r="AJ31" s="367"/>
      <c r="AK31" s="367"/>
      <c r="AL31" s="367"/>
      <c r="AM31" s="367"/>
      <c r="AN31" s="367"/>
      <c r="AO31" s="367"/>
      <c r="AP31" s="367"/>
      <c r="AQ31" s="367"/>
      <c r="AR31" s="367"/>
      <c r="AS31" s="367"/>
      <c r="AT31" s="367"/>
      <c r="AU31" s="367"/>
      <c r="AV31" s="367"/>
      <c r="AW31" s="367"/>
      <c r="AX31" s="367"/>
      <c r="AY31" s="367"/>
      <c r="AZ31" s="367"/>
      <c r="BA31" s="367"/>
      <c r="BB31" s="367"/>
      <c r="BC31" s="367"/>
      <c r="BD31" s="367"/>
      <c r="BE31" s="367"/>
      <c r="BF31" s="367"/>
      <c r="BG31" s="367"/>
      <c r="BH31" s="367"/>
      <c r="BI31" s="368"/>
      <c r="BO31" s="260"/>
    </row>
    <row r="32" spans="1:72" ht="3.9" customHeight="1">
      <c r="A32" s="359"/>
      <c r="B32" s="287"/>
      <c r="C32" s="360"/>
      <c r="D32" s="287"/>
      <c r="E32" s="287"/>
      <c r="F32" s="287"/>
      <c r="G32" s="287"/>
      <c r="H32" s="287"/>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318"/>
      <c r="BO32" s="260"/>
    </row>
    <row r="33" spans="1:68" ht="11.25" customHeight="1">
      <c r="A33" s="359"/>
      <c r="B33" s="332" t="s">
        <v>658</v>
      </c>
      <c r="C33" s="287"/>
      <c r="D33" s="332"/>
      <c r="E33" s="287"/>
      <c r="F33" s="287"/>
      <c r="G33" s="287"/>
      <c r="H33" s="287"/>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360"/>
      <c r="AN33" s="360"/>
      <c r="AO33" s="369" t="s">
        <v>60</v>
      </c>
      <c r="AP33" s="287"/>
      <c r="AQ33" s="287"/>
      <c r="AR33" s="369"/>
      <c r="AS33" s="370"/>
      <c r="AT33" s="287"/>
      <c r="AU33" s="369"/>
      <c r="AV33" s="360"/>
      <c r="AW33" s="369"/>
      <c r="AX33" s="360"/>
      <c r="AY33" s="287"/>
      <c r="AZ33" s="287"/>
      <c r="BA33" s="287"/>
      <c r="BB33" s="287"/>
      <c r="BC33" s="287"/>
      <c r="BD33" s="369" t="s">
        <v>629</v>
      </c>
      <c r="BE33" s="287"/>
      <c r="BF33" s="369"/>
      <c r="BG33" s="360"/>
      <c r="BH33" s="335"/>
      <c r="BI33" s="371"/>
      <c r="BJ33" s="287"/>
      <c r="BK33" s="287"/>
      <c r="BL33" s="287"/>
      <c r="BM33" s="287"/>
      <c r="BN33" s="287"/>
      <c r="BO33" s="287"/>
      <c r="BP33" s="287"/>
    </row>
    <row r="34" spans="1:68" ht="3" customHeight="1">
      <c r="A34" s="359"/>
      <c r="B34" s="287"/>
      <c r="C34" s="360"/>
      <c r="D34" s="287"/>
      <c r="E34" s="287"/>
      <c r="F34" s="287"/>
      <c r="G34" s="287"/>
      <c r="H34" s="287"/>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360"/>
      <c r="AW34" s="360"/>
      <c r="AX34" s="287"/>
      <c r="AY34" s="287"/>
      <c r="AZ34" s="287"/>
      <c r="BA34" s="287"/>
      <c r="BB34" s="287"/>
      <c r="BC34" s="287"/>
      <c r="BD34" s="287"/>
      <c r="BE34" s="287"/>
      <c r="BF34" s="287"/>
      <c r="BG34" s="360"/>
      <c r="BH34" s="335"/>
      <c r="BI34" s="318"/>
      <c r="BJ34" s="287"/>
      <c r="BK34" s="287"/>
      <c r="BL34" s="287"/>
      <c r="BM34" s="287"/>
      <c r="BN34" s="287"/>
      <c r="BO34" s="287"/>
    </row>
    <row r="35" spans="1:68" ht="12" customHeight="1">
      <c r="A35" s="359"/>
      <c r="B35" s="362" t="s">
        <v>71</v>
      </c>
      <c r="C35" s="360" t="s">
        <v>630</v>
      </c>
      <c r="D35" s="287"/>
      <c r="E35" s="287"/>
      <c r="F35" s="287"/>
      <c r="G35" s="287"/>
      <c r="H35" s="287"/>
      <c r="I35" s="287"/>
      <c r="J35" s="287"/>
      <c r="K35" s="287"/>
      <c r="L35" s="287"/>
      <c r="M35" s="287"/>
      <c r="N35" s="287"/>
      <c r="O35" s="362" t="str">
        <f>IF(tnu&gt;0,"X","")</f>
        <v>X</v>
      </c>
      <c r="P35" s="360" t="s">
        <v>647</v>
      </c>
      <c r="Q35" s="287"/>
      <c r="R35" s="287"/>
      <c r="S35" s="287"/>
      <c r="T35" s="287"/>
      <c r="U35" s="360"/>
      <c r="V35" s="360"/>
      <c r="W35" s="360"/>
      <c r="X35" s="360"/>
      <c r="Y35" s="362" t="str">
        <f>IF(_tnu450&gt;0,"X","")</f>
        <v/>
      </c>
      <c r="Z35" s="360" t="s">
        <v>648</v>
      </c>
      <c r="AA35" s="287"/>
      <c r="AB35" s="287"/>
      <c r="AC35" s="287"/>
      <c r="AD35" s="287"/>
      <c r="AE35" s="287"/>
      <c r="AF35" s="287"/>
      <c r="AG35" s="287"/>
      <c r="AH35" s="1557">
        <f ca="1">IF(test="O.K.",IF(tnu&gt;0,tnu,IF(_tnu450&gt;0,_tnu450,"")),"?")</f>
        <v>9000</v>
      </c>
      <c r="AI35" s="1558"/>
      <c r="AJ35" s="1558"/>
      <c r="AK35" s="1558"/>
      <c r="AL35" s="1558"/>
      <c r="AM35" s="539" t="str">
        <f ca="1">IF(AH35="?","?","")</f>
        <v/>
      </c>
      <c r="AN35" s="332" t="s">
        <v>645</v>
      </c>
      <c r="AO35" s="331"/>
      <c r="AP35" s="360"/>
      <c r="AQ35" s="1547">
        <f ca="1">IF(test="O.K.",IF(tnu&gt;0,Ponuka!F15,IF(_tnu450&gt;0,Ponuka!F16,"")),"?")</f>
        <v>0</v>
      </c>
      <c r="AR35" s="1548"/>
      <c r="AS35" s="1548"/>
      <c r="AT35" s="1548"/>
      <c r="AU35" s="1548"/>
      <c r="AV35" s="1548"/>
      <c r="AW35" s="1549"/>
      <c r="AX35" s="331" t="s">
        <v>646</v>
      </c>
      <c r="AY35" s="287"/>
      <c r="AZ35" s="287"/>
      <c r="BA35" s="287"/>
      <c r="BB35" s="1550">
        <f ca="1">IF(dospely=FALSE,"",IF(test="O.K.",IF(tnu&gt;0,Poistné!D17,IF(_tnu450&gt;0,Poistné!D18,"")),"?"))</f>
        <v>11.52</v>
      </c>
      <c r="BC35" s="1551"/>
      <c r="BD35" s="1551"/>
      <c r="BE35" s="1551"/>
      <c r="BF35" s="541"/>
      <c r="BG35" s="332" t="s">
        <v>645</v>
      </c>
      <c r="BH35" s="372"/>
      <c r="BI35" s="318"/>
      <c r="BJ35" s="335"/>
      <c r="BL35" s="287"/>
      <c r="BM35" s="287"/>
      <c r="BN35" s="373"/>
      <c r="BO35" s="287"/>
    </row>
    <row r="36" spans="1:68" ht="3.75" customHeight="1">
      <c r="A36" s="374"/>
      <c r="B36" s="360"/>
      <c r="C36" s="360"/>
      <c r="D36" s="360"/>
      <c r="E36" s="360"/>
      <c r="F36" s="360"/>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375"/>
      <c r="AI36" s="375"/>
      <c r="AJ36" s="375"/>
      <c r="AK36" s="375"/>
      <c r="AL36" s="375"/>
      <c r="AM36" s="376"/>
      <c r="AN36" s="332"/>
      <c r="AO36" s="331"/>
      <c r="AP36" s="360"/>
      <c r="AQ36" s="377"/>
      <c r="AR36" s="377"/>
      <c r="AS36" s="377"/>
      <c r="AT36" s="377"/>
      <c r="AU36" s="377"/>
      <c r="AV36" s="377"/>
      <c r="AW36" s="377"/>
      <c r="AX36" s="331"/>
      <c r="AY36" s="287"/>
      <c r="AZ36" s="287"/>
      <c r="BA36" s="287"/>
      <c r="BB36" s="287"/>
      <c r="BC36" s="287"/>
      <c r="BD36" s="287"/>
      <c r="BE36" s="287"/>
      <c r="BF36" s="540"/>
      <c r="BG36" s="332"/>
      <c r="BH36" s="372"/>
      <c r="BI36" s="318"/>
      <c r="BJ36" s="287"/>
      <c r="BK36" s="287"/>
      <c r="BL36" s="287"/>
      <c r="BM36" s="287"/>
      <c r="BN36" s="373"/>
      <c r="BO36" s="287"/>
    </row>
    <row r="37" spans="1:68" ht="12" customHeight="1">
      <c r="A37" s="359"/>
      <c r="B37" s="362" t="str">
        <f>IF(su&gt;0,"X","")</f>
        <v>X</v>
      </c>
      <c r="C37" s="360" t="s">
        <v>61</v>
      </c>
      <c r="D37" s="287"/>
      <c r="E37" s="287"/>
      <c r="F37" s="287"/>
      <c r="G37" s="287"/>
      <c r="H37" s="287"/>
      <c r="I37" s="287"/>
      <c r="J37" s="287"/>
      <c r="K37" s="287"/>
      <c r="L37" s="287"/>
      <c r="M37" s="287"/>
      <c r="N37" s="287"/>
      <c r="O37" s="287"/>
      <c r="P37" s="287"/>
      <c r="Q37" s="287"/>
      <c r="R37" s="287"/>
      <c r="S37" s="287"/>
      <c r="T37" s="287"/>
      <c r="U37" s="287"/>
      <c r="V37" s="287"/>
      <c r="W37" s="287"/>
      <c r="X37" s="287"/>
      <c r="Y37" s="287"/>
      <c r="Z37" s="287"/>
      <c r="AA37" s="287"/>
      <c r="AB37" s="287"/>
      <c r="AC37" s="287"/>
      <c r="AD37" s="287"/>
      <c r="AE37" s="287"/>
      <c r="AF37" s="287"/>
      <c r="AG37" s="287"/>
      <c r="AH37" s="1557">
        <f ca="1">IF(test="O.K.",IF(su&gt;0,su,""),"?")</f>
        <v>9000</v>
      </c>
      <c r="AI37" s="1558"/>
      <c r="AJ37" s="1558"/>
      <c r="AK37" s="1558"/>
      <c r="AL37" s="1558"/>
      <c r="AM37" s="542" t="str">
        <f ca="1">IF(AH37="?","?","")</f>
        <v/>
      </c>
      <c r="AN37" s="332" t="s">
        <v>645</v>
      </c>
      <c r="AO37" s="331"/>
      <c r="AP37" s="360"/>
      <c r="AQ37" s="1547">
        <f ca="1">IF(test="O.K.",IF(su&gt;0,Ponuka!F17,""),"?")</f>
        <v>0</v>
      </c>
      <c r="AR37" s="1548"/>
      <c r="AS37" s="1548"/>
      <c r="AT37" s="1548"/>
      <c r="AU37" s="1548"/>
      <c r="AV37" s="1548"/>
      <c r="AW37" s="1549"/>
      <c r="AX37" s="331" t="s">
        <v>646</v>
      </c>
      <c r="AY37" s="287"/>
      <c r="AZ37" s="287"/>
      <c r="BA37" s="287"/>
      <c r="BB37" s="1550">
        <f ca="1">IF(test="O.K.",IF(su&gt;0,Poistné!D19,""),"?")</f>
        <v>9.66</v>
      </c>
      <c r="BC37" s="1551"/>
      <c r="BD37" s="1551"/>
      <c r="BE37" s="1551"/>
      <c r="BF37" s="545" t="str">
        <f ca="1">IF(BB37="?","?","")</f>
        <v/>
      </c>
      <c r="BG37" s="332" t="s">
        <v>645</v>
      </c>
      <c r="BH37" s="372"/>
      <c r="BI37" s="318"/>
      <c r="BJ37" s="287"/>
      <c r="BK37" s="287"/>
      <c r="BL37" s="287"/>
      <c r="BM37" s="287"/>
      <c r="BN37" s="373"/>
      <c r="BO37" s="287"/>
    </row>
    <row r="38" spans="1:68" ht="3.75" customHeight="1">
      <c r="A38" s="359"/>
      <c r="B38" s="287"/>
      <c r="C38" s="360"/>
      <c r="D38" s="287"/>
      <c r="E38" s="287"/>
      <c r="F38" s="287"/>
      <c r="G38" s="378"/>
      <c r="H38" s="287"/>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375"/>
      <c r="AI38" s="375"/>
      <c r="AJ38" s="375"/>
      <c r="AK38" s="375"/>
      <c r="AL38" s="375"/>
      <c r="AM38" s="543"/>
      <c r="AN38" s="332"/>
      <c r="AO38" s="331"/>
      <c r="AP38" s="360"/>
      <c r="AQ38" s="377"/>
      <c r="AR38" s="377"/>
      <c r="AS38" s="377"/>
      <c r="AT38" s="377"/>
      <c r="AU38" s="377"/>
      <c r="AV38" s="377"/>
      <c r="AW38" s="377"/>
      <c r="AX38" s="331"/>
      <c r="AY38" s="287"/>
      <c r="AZ38" s="287"/>
      <c r="BA38" s="287"/>
      <c r="BB38" s="287"/>
      <c r="BC38" s="287"/>
      <c r="BD38" s="287"/>
      <c r="BE38" s="287"/>
      <c r="BF38" s="544"/>
      <c r="BG38" s="332"/>
      <c r="BH38" s="372"/>
      <c r="BI38" s="318"/>
      <c r="BJ38" s="287"/>
      <c r="BK38" s="287"/>
      <c r="BL38" s="287"/>
      <c r="BM38" s="287"/>
      <c r="BN38" s="373"/>
      <c r="BO38" s="287"/>
    </row>
    <row r="39" spans="1:68" ht="12" customHeight="1">
      <c r="A39" s="359"/>
      <c r="B39" s="362" t="str">
        <f>IF(do&gt;0,"X","")</f>
        <v/>
      </c>
      <c r="C39" s="360" t="s">
        <v>631</v>
      </c>
      <c r="D39" s="287"/>
      <c r="E39" s="287"/>
      <c r="F39" s="287"/>
      <c r="G39" s="287"/>
      <c r="H39" s="287"/>
      <c r="I39" s="287"/>
      <c r="J39" s="287"/>
      <c r="K39" s="287"/>
      <c r="L39" s="287"/>
      <c r="M39" s="287"/>
      <c r="N39" s="287"/>
      <c r="O39" s="287"/>
      <c r="P39" s="287"/>
      <c r="Q39" s="287"/>
      <c r="R39" s="287"/>
      <c r="S39" s="287"/>
      <c r="T39" s="287"/>
      <c r="U39" s="287"/>
      <c r="V39" s="287"/>
      <c r="W39" s="287"/>
      <c r="X39" s="287"/>
      <c r="Y39" s="287"/>
      <c r="Z39" s="287"/>
      <c r="AA39" s="287"/>
      <c r="AB39" s="287"/>
      <c r="AC39" s="287"/>
      <c r="AD39" s="287"/>
      <c r="AE39" s="287"/>
      <c r="AF39" s="287"/>
      <c r="AG39" s="287"/>
      <c r="AH39" s="1557" t="str">
        <f ca="1">IF(test="O.K.",IF(do&gt;0,do,""),"?")</f>
        <v/>
      </c>
      <c r="AI39" s="1558"/>
      <c r="AJ39" s="1558"/>
      <c r="AK39" s="1558"/>
      <c r="AL39" s="1558"/>
      <c r="AM39" s="542" t="str">
        <f ca="1">IF(AH39="?","?","")</f>
        <v/>
      </c>
      <c r="AN39" s="332" t="s">
        <v>645</v>
      </c>
      <c r="AO39" s="331"/>
      <c r="AP39" s="360"/>
      <c r="AQ39" s="1547" t="str">
        <f ca="1">IF(test="O.K.",IF(do&gt;0,Ponuka!F18,""),"?")</f>
        <v/>
      </c>
      <c r="AR39" s="1548"/>
      <c r="AS39" s="1548"/>
      <c r="AT39" s="1548"/>
      <c r="AU39" s="1548"/>
      <c r="AV39" s="1548"/>
      <c r="AW39" s="1549"/>
      <c r="AX39" s="331" t="s">
        <v>646</v>
      </c>
      <c r="AY39" s="287"/>
      <c r="AZ39" s="287"/>
      <c r="BA39" s="287"/>
      <c r="BB39" s="1550" t="str">
        <f ca="1">IF(test="O.K.",IF(do&gt;0,Poistné!D20,""),"?")</f>
        <v/>
      </c>
      <c r="BC39" s="1551"/>
      <c r="BD39" s="1551"/>
      <c r="BE39" s="1551"/>
      <c r="BF39" s="545" t="str">
        <f ca="1">IF(BB39="?","?","")</f>
        <v/>
      </c>
      <c r="BG39" s="332" t="s">
        <v>645</v>
      </c>
      <c r="BH39" s="372"/>
      <c r="BI39" s="318"/>
      <c r="BJ39" s="287"/>
      <c r="BK39" s="287"/>
      <c r="BL39" s="287"/>
      <c r="BM39" s="287"/>
      <c r="BN39" s="373"/>
      <c r="BO39" s="287"/>
    </row>
    <row r="40" spans="1:68" ht="3" customHeight="1">
      <c r="A40" s="359"/>
      <c r="B40" s="287"/>
      <c r="C40" s="329"/>
      <c r="D40" s="287"/>
      <c r="E40" s="287"/>
      <c r="F40" s="287"/>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87"/>
      <c r="AE40" s="287"/>
      <c r="AF40" s="287"/>
      <c r="AG40" s="287"/>
      <c r="AH40" s="375"/>
      <c r="AI40" s="375"/>
      <c r="AJ40" s="375"/>
      <c r="AK40" s="375"/>
      <c r="AL40" s="375"/>
      <c r="AM40" s="543"/>
      <c r="AN40" s="332"/>
      <c r="AO40" s="331"/>
      <c r="AP40" s="360"/>
      <c r="AQ40" s="377"/>
      <c r="AR40" s="377"/>
      <c r="AS40" s="377"/>
      <c r="AT40" s="377"/>
      <c r="AU40" s="377"/>
      <c r="AV40" s="377"/>
      <c r="AW40" s="377"/>
      <c r="AX40" s="331"/>
      <c r="AY40" s="287"/>
      <c r="AZ40" s="287"/>
      <c r="BA40" s="287"/>
      <c r="BB40" s="287"/>
      <c r="BC40" s="287"/>
      <c r="BD40" s="287"/>
      <c r="BE40" s="287"/>
      <c r="BF40" s="544"/>
      <c r="BG40" s="332"/>
      <c r="BH40" s="372"/>
      <c r="BI40" s="318"/>
      <c r="BJ40" s="287"/>
      <c r="BK40" s="287"/>
      <c r="BL40" s="287"/>
      <c r="BM40" s="287"/>
      <c r="BN40" s="373"/>
      <c r="BO40" s="287"/>
    </row>
    <row r="41" spans="1:68" ht="12" customHeight="1">
      <c r="A41" s="359"/>
      <c r="B41" s="362" t="str">
        <f>IF(cnl&gt;0,"X","")</f>
        <v/>
      </c>
      <c r="C41" s="360" t="s">
        <v>632</v>
      </c>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87"/>
      <c r="AE41" s="287"/>
      <c r="AF41" s="287"/>
      <c r="AG41" s="287"/>
      <c r="AH41" s="1557" t="str">
        <f ca="1">IF(test="O.K.",IF(cnl&gt;0,cnl,""),"?")</f>
        <v/>
      </c>
      <c r="AI41" s="1558"/>
      <c r="AJ41" s="1558"/>
      <c r="AK41" s="1558"/>
      <c r="AL41" s="1558"/>
      <c r="AM41" s="542" t="str">
        <f ca="1">IF(AH41="?","?","")</f>
        <v/>
      </c>
      <c r="AN41" s="332" t="s">
        <v>645</v>
      </c>
      <c r="AO41" s="331"/>
      <c r="AP41" s="360"/>
      <c r="AQ41" s="1547" t="str">
        <f ca="1">IF(test="O.K.",IF(cnl&gt;0,Ponuka!F19,""),"?")</f>
        <v/>
      </c>
      <c r="AR41" s="1548"/>
      <c r="AS41" s="1548"/>
      <c r="AT41" s="1548"/>
      <c r="AU41" s="1548"/>
      <c r="AV41" s="1548"/>
      <c r="AW41" s="1549"/>
      <c r="AX41" s="331" t="s">
        <v>646</v>
      </c>
      <c r="AY41" s="287"/>
      <c r="AZ41" s="287"/>
      <c r="BA41" s="287"/>
      <c r="BB41" s="1550" t="str">
        <f ca="1">IF(test="O.K.",IF(cnl&gt;0,Poistné!D21,""),"?")</f>
        <v/>
      </c>
      <c r="BC41" s="1551"/>
      <c r="BD41" s="1551"/>
      <c r="BE41" s="1551"/>
      <c r="BF41" s="545" t="str">
        <f ca="1">IF(BB41="?","?","")</f>
        <v/>
      </c>
      <c r="BG41" s="332" t="s">
        <v>645</v>
      </c>
      <c r="BH41" s="372"/>
      <c r="BI41" s="318"/>
      <c r="BJ41" s="287"/>
      <c r="BK41" s="287"/>
      <c r="BL41" s="287"/>
      <c r="BM41" s="287"/>
      <c r="BN41" s="373"/>
      <c r="BO41" s="287"/>
    </row>
    <row r="42" spans="1:68" ht="3.75" customHeight="1">
      <c r="A42" s="359"/>
      <c r="B42" s="285"/>
      <c r="C42" s="378"/>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364"/>
      <c r="AI42" s="364"/>
      <c r="AJ42" s="364"/>
      <c r="AK42" s="379"/>
      <c r="AL42" s="379"/>
      <c r="AM42" s="544"/>
      <c r="AN42" s="332"/>
      <c r="AO42" s="331"/>
      <c r="AP42" s="360"/>
      <c r="AQ42" s="377"/>
      <c r="AR42" s="377"/>
      <c r="AS42" s="377"/>
      <c r="AT42" s="377"/>
      <c r="AU42" s="377"/>
      <c r="AV42" s="377"/>
      <c r="AW42" s="377"/>
      <c r="AX42" s="331"/>
      <c r="AY42" s="287"/>
      <c r="AZ42" s="287"/>
      <c r="BA42" s="287"/>
      <c r="BB42" s="287"/>
      <c r="BC42" s="287"/>
      <c r="BD42" s="287"/>
      <c r="BE42" s="287"/>
      <c r="BF42" s="544"/>
      <c r="BG42" s="332"/>
      <c r="BH42" s="372"/>
      <c r="BI42" s="318"/>
      <c r="BJ42" s="287"/>
      <c r="BK42" s="287"/>
      <c r="BL42" s="287"/>
      <c r="BM42" s="287"/>
      <c r="BN42" s="373"/>
      <c r="BO42" s="287"/>
    </row>
    <row r="43" spans="1:68" ht="12" customHeight="1">
      <c r="A43" s="359"/>
      <c r="B43" s="362" t="str">
        <f>IF(dn&gt;0,"X","")</f>
        <v/>
      </c>
      <c r="C43" s="360" t="s">
        <v>633</v>
      </c>
      <c r="D43" s="287"/>
      <c r="E43" s="287"/>
      <c r="F43" s="287"/>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7"/>
      <c r="AE43" s="287"/>
      <c r="AF43" s="287"/>
      <c r="AG43" s="287"/>
      <c r="AH43" s="1557" t="str">
        <f ca="1">IF(test="O.K.",IF(dn&gt;0,dn,""),"?")</f>
        <v/>
      </c>
      <c r="AI43" s="1558"/>
      <c r="AJ43" s="1558"/>
      <c r="AK43" s="1558"/>
      <c r="AL43" s="1558"/>
      <c r="AM43" s="545" t="str">
        <f ca="1">IF(AH43="?","?","")</f>
        <v/>
      </c>
      <c r="AN43" s="332" t="s">
        <v>645</v>
      </c>
      <c r="AO43" s="331"/>
      <c r="AP43" s="360"/>
      <c r="AQ43" s="1547" t="str">
        <f ca="1">IF(test="O.K.",IF(dn&gt;0,Ponuka!F20,""),"?")</f>
        <v/>
      </c>
      <c r="AR43" s="1548"/>
      <c r="AS43" s="1548"/>
      <c r="AT43" s="1548"/>
      <c r="AU43" s="1548"/>
      <c r="AV43" s="1548"/>
      <c r="AW43" s="1549"/>
      <c r="AX43" s="331" t="s">
        <v>646</v>
      </c>
      <c r="AY43" s="287"/>
      <c r="AZ43" s="287"/>
      <c r="BA43" s="287"/>
      <c r="BB43" s="1550" t="str">
        <f ca="1">IF(test="O.K.",IF(dn&gt;0,Poistné!D22,""),"?")</f>
        <v/>
      </c>
      <c r="BC43" s="1551"/>
      <c r="BD43" s="1551"/>
      <c r="BE43" s="1551"/>
      <c r="BF43" s="545" t="str">
        <f ca="1">IF(BB43="?","?","")</f>
        <v/>
      </c>
      <c r="BG43" s="332" t="s">
        <v>645</v>
      </c>
      <c r="BH43" s="372"/>
      <c r="BI43" s="318"/>
      <c r="BJ43" s="287"/>
      <c r="BK43" s="287"/>
      <c r="BL43" s="287"/>
      <c r="BM43" s="287"/>
      <c r="BN43" s="373"/>
      <c r="BO43" s="287"/>
    </row>
    <row r="44" spans="1:68" ht="3" customHeight="1">
      <c r="A44" s="359"/>
      <c r="B44" s="287"/>
      <c r="C44" s="360"/>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380"/>
      <c r="AI44" s="380"/>
      <c r="AJ44" s="380"/>
      <c r="AK44" s="381"/>
      <c r="AL44" s="381"/>
      <c r="AM44" s="544"/>
      <c r="AN44" s="332"/>
      <c r="AO44" s="331"/>
      <c r="AP44" s="360"/>
      <c r="AQ44" s="377"/>
      <c r="AR44" s="377"/>
      <c r="AS44" s="377"/>
      <c r="AT44" s="377"/>
      <c r="AU44" s="377"/>
      <c r="AV44" s="377"/>
      <c r="AW44" s="377"/>
      <c r="AX44" s="331"/>
      <c r="AY44" s="287"/>
      <c r="AZ44" s="287"/>
      <c r="BA44" s="287"/>
      <c r="BB44" s="287"/>
      <c r="BC44" s="287"/>
      <c r="BD44" s="287"/>
      <c r="BE44" s="287"/>
      <c r="BF44" s="544"/>
      <c r="BG44" s="332"/>
      <c r="BH44" s="372"/>
      <c r="BI44" s="318"/>
      <c r="BJ44" s="287"/>
      <c r="BK44" s="287"/>
      <c r="BL44" s="287"/>
      <c r="BM44" s="287"/>
      <c r="BN44" s="373"/>
      <c r="BO44" s="287"/>
    </row>
    <row r="45" spans="1:68" ht="12" customHeight="1">
      <c r="A45" s="348"/>
      <c r="B45" s="362" t="str">
        <f>IF(mo&gt;0,"X","")</f>
        <v/>
      </c>
      <c r="C45" s="360" t="s">
        <v>62</v>
      </c>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7"/>
      <c r="AE45" s="287"/>
      <c r="AF45" s="287"/>
      <c r="AG45" s="287"/>
      <c r="AH45" s="1557" t="str">
        <f ca="1">IF(test="O.K.",IF(mo&gt;0,mo,""),"?")</f>
        <v/>
      </c>
      <c r="AI45" s="1558"/>
      <c r="AJ45" s="1558"/>
      <c r="AK45" s="1558"/>
      <c r="AL45" s="1558"/>
      <c r="AM45" s="545" t="str">
        <f ca="1">IF(AH45="?","?","")</f>
        <v/>
      </c>
      <c r="AN45" s="332" t="s">
        <v>645</v>
      </c>
      <c r="AO45" s="331"/>
      <c r="AP45" s="360"/>
      <c r="AQ45" s="1547" t="str">
        <f ca="1">IF(test="O.K.",IF(mo&gt;0,Ponuka!F21,""),"?")</f>
        <v/>
      </c>
      <c r="AR45" s="1548"/>
      <c r="AS45" s="1548"/>
      <c r="AT45" s="1548"/>
      <c r="AU45" s="1548"/>
      <c r="AV45" s="1548"/>
      <c r="AW45" s="1549"/>
      <c r="AX45" s="331" t="s">
        <v>646</v>
      </c>
      <c r="AY45" s="287"/>
      <c r="AZ45" s="287"/>
      <c r="BA45" s="287"/>
      <c r="BB45" s="1550" t="str">
        <f ca="1">IF(test="O.K.",IF(mo&gt;0,Poistné!D23,""),"?")</f>
        <v/>
      </c>
      <c r="BC45" s="1551"/>
      <c r="BD45" s="1551"/>
      <c r="BE45" s="1551"/>
      <c r="BF45" s="545" t="str">
        <f ca="1">IF(BB45="?","?","")</f>
        <v/>
      </c>
      <c r="BG45" s="332" t="s">
        <v>645</v>
      </c>
      <c r="BH45" s="372"/>
      <c r="BI45" s="318"/>
      <c r="BJ45" s="287"/>
      <c r="BK45" s="287"/>
      <c r="BL45" s="287"/>
      <c r="BM45" s="287"/>
      <c r="BN45" s="373"/>
      <c r="BO45" s="287"/>
    </row>
    <row r="46" spans="1:68" ht="3.75" customHeight="1">
      <c r="A46" s="359"/>
      <c r="B46" s="287"/>
      <c r="C46" s="360"/>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380"/>
      <c r="AI46" s="380"/>
      <c r="AJ46" s="380"/>
      <c r="AK46" s="381"/>
      <c r="AL46" s="381"/>
      <c r="AM46" s="544"/>
      <c r="AN46" s="332"/>
      <c r="AO46" s="331"/>
      <c r="AP46" s="360"/>
      <c r="AQ46" s="377"/>
      <c r="AR46" s="377"/>
      <c r="AS46" s="377"/>
      <c r="AT46" s="377"/>
      <c r="AU46" s="377"/>
      <c r="AV46" s="377"/>
      <c r="AW46" s="377"/>
      <c r="AX46" s="331"/>
      <c r="AY46" s="287"/>
      <c r="AZ46" s="287"/>
      <c r="BA46" s="287"/>
      <c r="BB46" s="287"/>
      <c r="BC46" s="287"/>
      <c r="BD46" s="287"/>
      <c r="BE46" s="287"/>
      <c r="BF46" s="544"/>
      <c r="BG46" s="332"/>
      <c r="BH46" s="372"/>
      <c r="BI46" s="318"/>
      <c r="BJ46" s="287"/>
      <c r="BK46" s="287"/>
      <c r="BL46" s="287"/>
      <c r="BM46" s="287"/>
      <c r="BN46" s="373"/>
      <c r="BO46" s="287"/>
    </row>
    <row r="47" spans="1:68" ht="12" customHeight="1">
      <c r="A47" s="382"/>
      <c r="B47" s="362" t="str">
        <f>IF(kch&gt;0,"X","")</f>
        <v/>
      </c>
      <c r="C47" s="360" t="s">
        <v>634</v>
      </c>
      <c r="D47" s="383"/>
      <c r="E47" s="383"/>
      <c r="F47" s="383"/>
      <c r="G47" s="383"/>
      <c r="H47" s="383"/>
      <c r="I47" s="383"/>
      <c r="J47" s="383"/>
      <c r="K47" s="383"/>
      <c r="L47" s="383"/>
      <c r="M47" s="383"/>
      <c r="N47" s="383"/>
      <c r="O47" s="383"/>
      <c r="P47" s="383"/>
      <c r="Q47" s="383"/>
      <c r="R47" s="383"/>
      <c r="S47" s="383"/>
      <c r="T47" s="287"/>
      <c r="U47" s="287"/>
      <c r="V47" s="287"/>
      <c r="W47" s="287"/>
      <c r="X47" s="287"/>
      <c r="Y47" s="287"/>
      <c r="Z47" s="383"/>
      <c r="AA47" s="287"/>
      <c r="AB47" s="287"/>
      <c r="AC47" s="287"/>
      <c r="AD47" s="287"/>
      <c r="AE47" s="287"/>
      <c r="AF47" s="287"/>
      <c r="AG47" s="287"/>
      <c r="AH47" s="1557" t="str">
        <f ca="1">IF(test="O.K.",IF(kch&gt;0,kch,""),"?")</f>
        <v/>
      </c>
      <c r="AI47" s="1558"/>
      <c r="AJ47" s="1558"/>
      <c r="AK47" s="1558"/>
      <c r="AL47" s="1558"/>
      <c r="AM47" s="545" t="str">
        <f ca="1">IF(AH47="?","?","")</f>
        <v/>
      </c>
      <c r="AN47" s="332" t="s">
        <v>645</v>
      </c>
      <c r="AO47" s="331"/>
      <c r="AP47" s="360"/>
      <c r="AQ47" s="1547" t="str">
        <f ca="1">IF(test="O.K.",IF(kch&gt;0,Ponuka!F22,""),"?")</f>
        <v/>
      </c>
      <c r="AR47" s="1548"/>
      <c r="AS47" s="1548"/>
      <c r="AT47" s="1548"/>
      <c r="AU47" s="1548"/>
      <c r="AV47" s="1548"/>
      <c r="AW47" s="1549"/>
      <c r="AX47" s="331" t="s">
        <v>646</v>
      </c>
      <c r="AY47" s="287"/>
      <c r="AZ47" s="287"/>
      <c r="BA47" s="287"/>
      <c r="BB47" s="1550" t="str">
        <f ca="1">IF(test="O.K.",IF(kch&gt;0,Poistné!D24,""),"?")</f>
        <v/>
      </c>
      <c r="BC47" s="1551"/>
      <c r="BD47" s="1551"/>
      <c r="BE47" s="1551"/>
      <c r="BF47" s="545" t="str">
        <f ca="1">IF(BB47="?","?","")</f>
        <v/>
      </c>
      <c r="BG47" s="332" t="s">
        <v>645</v>
      </c>
      <c r="BH47" s="372"/>
      <c r="BI47" s="318"/>
      <c r="BJ47" s="287"/>
      <c r="BK47" s="287"/>
      <c r="BL47" s="287"/>
      <c r="BM47" s="287"/>
      <c r="BN47" s="373"/>
      <c r="BO47" s="287"/>
    </row>
    <row r="48" spans="1:68" ht="4.5" customHeight="1">
      <c r="A48" s="359"/>
      <c r="B48" s="287"/>
      <c r="C48" s="360"/>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360"/>
      <c r="AI48" s="384"/>
      <c r="AJ48" s="360"/>
      <c r="AK48" s="360"/>
      <c r="AL48" s="287"/>
      <c r="AM48" s="287"/>
      <c r="AN48" s="287"/>
      <c r="AO48" s="287"/>
      <c r="AP48" s="287"/>
      <c r="AQ48" s="287"/>
      <c r="AR48" s="287"/>
      <c r="AS48" s="287"/>
      <c r="AT48" s="287"/>
      <c r="AU48" s="287"/>
      <c r="AV48" s="287"/>
      <c r="AW48" s="385"/>
      <c r="AX48" s="287"/>
      <c r="AY48" s="287"/>
      <c r="AZ48" s="360"/>
      <c r="BA48" s="287"/>
      <c r="BB48" s="360"/>
      <c r="BC48" s="360"/>
      <c r="BD48" s="360"/>
      <c r="BE48" s="360"/>
      <c r="BF48" s="546"/>
      <c r="BG48" s="332"/>
      <c r="BH48" s="386"/>
      <c r="BI48" s="318"/>
      <c r="BJ48" s="287"/>
      <c r="BK48" s="287"/>
      <c r="BL48" s="287"/>
      <c r="BM48" s="287"/>
      <c r="BN48" s="373"/>
      <c r="BO48" s="287"/>
    </row>
    <row r="49" spans="1:71" ht="12" customHeight="1">
      <c r="A49" s="359"/>
      <c r="B49" s="360" t="s">
        <v>635</v>
      </c>
      <c r="C49" s="360"/>
      <c r="D49" s="360"/>
      <c r="E49" s="360"/>
      <c r="F49" s="360"/>
      <c r="G49" s="360"/>
      <c r="H49" s="360"/>
      <c r="I49" s="360"/>
      <c r="J49" s="360"/>
      <c r="K49" s="360"/>
      <c r="L49" s="360"/>
      <c r="M49" s="360"/>
      <c r="N49" s="360"/>
      <c r="O49" s="360"/>
      <c r="P49" s="360"/>
      <c r="Q49" s="360"/>
      <c r="R49" s="360"/>
      <c r="S49" s="360"/>
      <c r="T49" s="360"/>
      <c r="U49" s="360"/>
      <c r="V49" s="360"/>
      <c r="W49" s="360"/>
      <c r="X49" s="360"/>
      <c r="Y49" s="362" t="str">
        <f>IF(dospely=FALSE,"",IF(b="a","X",""))</f>
        <v/>
      </c>
      <c r="Z49" s="360" t="s">
        <v>636</v>
      </c>
      <c r="AA49" s="360"/>
      <c r="AB49" s="360"/>
      <c r="AC49" s="360"/>
      <c r="AD49" s="287"/>
      <c r="AE49" s="362" t="str">
        <f>IF(dospely=FALSE,"",IF(b="n","X",""))</f>
        <v>X</v>
      </c>
      <c r="AF49" s="360" t="s">
        <v>637</v>
      </c>
      <c r="AG49" s="360"/>
      <c r="AH49" s="360"/>
      <c r="AI49" s="287"/>
      <c r="AJ49" s="287"/>
      <c r="AK49" s="287"/>
      <c r="AL49" s="287"/>
      <c r="AM49" s="360"/>
      <c r="AN49" s="360"/>
      <c r="AO49" s="287"/>
      <c r="AP49" s="287"/>
      <c r="AQ49" s="287"/>
      <c r="AR49" s="287"/>
      <c r="AS49" s="287"/>
      <c r="AT49" s="287"/>
      <c r="AU49" s="287"/>
      <c r="AV49" s="287"/>
      <c r="AW49" s="385"/>
      <c r="AX49" s="287"/>
      <c r="AY49" s="287"/>
      <c r="AZ49" s="287"/>
      <c r="BA49" s="287"/>
      <c r="BB49" s="1550" t="str">
        <f ca="1">IF(test="O.K.",IF(b="a",Poistné!D25,""),"?")</f>
        <v/>
      </c>
      <c r="BC49" s="1551"/>
      <c r="BD49" s="1551"/>
      <c r="BE49" s="1551"/>
      <c r="BF49" s="547"/>
      <c r="BG49" s="332" t="s">
        <v>645</v>
      </c>
      <c r="BH49" s="386"/>
      <c r="BI49" s="318"/>
      <c r="BJ49" s="287"/>
      <c r="BK49" s="287"/>
      <c r="BL49" s="287"/>
      <c r="BM49" s="287"/>
      <c r="BN49" s="373"/>
      <c r="BO49" s="287"/>
    </row>
    <row r="50" spans="1:71" ht="2.25" customHeight="1">
      <c r="A50" s="359"/>
      <c r="B50" s="360"/>
      <c r="C50" s="360"/>
      <c r="D50" s="360"/>
      <c r="E50" s="360"/>
      <c r="F50" s="360"/>
      <c r="G50" s="360"/>
      <c r="H50" s="360"/>
      <c r="I50" s="360"/>
      <c r="J50" s="360"/>
      <c r="K50" s="360"/>
      <c r="L50" s="360"/>
      <c r="M50" s="360"/>
      <c r="N50" s="360"/>
      <c r="O50" s="360"/>
      <c r="P50" s="360"/>
      <c r="Q50" s="360"/>
      <c r="R50" s="360"/>
      <c r="S50" s="360"/>
      <c r="T50" s="360"/>
      <c r="U50" s="360"/>
      <c r="V50" s="360"/>
      <c r="W50" s="360"/>
      <c r="X50" s="360"/>
      <c r="Y50" s="360"/>
      <c r="Z50" s="360"/>
      <c r="AA50" s="360"/>
      <c r="AB50" s="360"/>
      <c r="AC50" s="360"/>
      <c r="AD50" s="360"/>
      <c r="AE50" s="360"/>
      <c r="AF50" s="360"/>
      <c r="AG50" s="360"/>
      <c r="AH50" s="360"/>
      <c r="AI50" s="287"/>
      <c r="AJ50" s="287"/>
      <c r="AK50" s="287"/>
      <c r="AL50" s="287"/>
      <c r="AM50" s="360"/>
      <c r="AN50" s="360"/>
      <c r="AO50" s="287"/>
      <c r="AP50" s="287"/>
      <c r="AQ50" s="287"/>
      <c r="AR50" s="287"/>
      <c r="AS50" s="287"/>
      <c r="AT50" s="287"/>
      <c r="AU50" s="287"/>
      <c r="AV50" s="287"/>
      <c r="AW50" s="385"/>
      <c r="AX50" s="287"/>
      <c r="AY50" s="287"/>
      <c r="AZ50" s="287"/>
      <c r="BA50" s="269"/>
      <c r="BB50" s="387"/>
      <c r="BC50" s="387"/>
      <c r="BD50" s="387"/>
      <c r="BE50" s="388"/>
      <c r="BF50" s="548"/>
      <c r="BG50" s="389"/>
      <c r="BH50" s="390"/>
      <c r="BI50" s="318"/>
      <c r="BJ50" s="287"/>
      <c r="BK50" s="287"/>
      <c r="BL50" s="287"/>
      <c r="BM50" s="287"/>
      <c r="BN50" s="373"/>
      <c r="BO50" s="287"/>
    </row>
    <row r="51" spans="1:71" ht="3" customHeight="1" thickBot="1">
      <c r="A51" s="359"/>
      <c r="B51" s="287"/>
      <c r="C51" s="360"/>
      <c r="D51" s="287"/>
      <c r="E51" s="287"/>
      <c r="F51" s="287"/>
      <c r="G51" s="287"/>
      <c r="H51" s="287"/>
      <c r="I51" s="287"/>
      <c r="J51" s="287"/>
      <c r="K51" s="287"/>
      <c r="L51" s="287"/>
      <c r="M51" s="287"/>
      <c r="N51" s="287"/>
      <c r="O51" s="287"/>
      <c r="P51" s="287"/>
      <c r="Q51" s="287"/>
      <c r="R51" s="287"/>
      <c r="S51" s="287"/>
      <c r="T51" s="287"/>
      <c r="U51" s="287"/>
      <c r="V51" s="287"/>
      <c r="W51" s="287"/>
      <c r="X51" s="287"/>
      <c r="Y51" s="287"/>
      <c r="Z51" s="287"/>
      <c r="AA51" s="287"/>
      <c r="AB51" s="287"/>
      <c r="AC51" s="287"/>
      <c r="AD51" s="287"/>
      <c r="AE51" s="287"/>
      <c r="AF51" s="360"/>
      <c r="AG51" s="287"/>
      <c r="AH51" s="287"/>
      <c r="AI51" s="287"/>
      <c r="AJ51" s="287"/>
      <c r="AK51" s="287"/>
      <c r="AL51" s="287"/>
      <c r="AM51" s="360"/>
      <c r="AN51" s="360"/>
      <c r="AO51" s="287"/>
      <c r="AP51" s="287"/>
      <c r="AQ51" s="287"/>
      <c r="AR51" s="287"/>
      <c r="AS51" s="287"/>
      <c r="AT51" s="287"/>
      <c r="AU51" s="287"/>
      <c r="AV51" s="287"/>
      <c r="AW51" s="385"/>
      <c r="AX51" s="287"/>
      <c r="AY51" s="287"/>
      <c r="AZ51" s="287"/>
      <c r="BA51" s="287"/>
      <c r="BB51" s="360"/>
      <c r="BC51" s="360"/>
      <c r="BD51" s="360"/>
      <c r="BE51" s="348"/>
      <c r="BF51" s="360"/>
      <c r="BG51" s="331"/>
      <c r="BH51" s="386"/>
      <c r="BI51" s="318"/>
      <c r="BJ51" s="287"/>
      <c r="BK51" s="287"/>
      <c r="BL51" s="287"/>
      <c r="BM51" s="287"/>
      <c r="BN51" s="373"/>
      <c r="BO51" s="287"/>
    </row>
    <row r="52" spans="1:71" ht="14.25" customHeight="1" thickBot="1">
      <c r="A52" s="374"/>
      <c r="B52" s="287"/>
      <c r="C52" s="360"/>
      <c r="D52" s="287"/>
      <c r="E52" s="287"/>
      <c r="F52" s="287"/>
      <c r="G52" s="287"/>
      <c r="H52" s="287"/>
      <c r="I52" s="287"/>
      <c r="J52" s="287"/>
      <c r="K52" s="287"/>
      <c r="L52" s="287"/>
      <c r="M52" s="287"/>
      <c r="N52" s="287"/>
      <c r="O52" s="287"/>
      <c r="P52" s="287"/>
      <c r="Q52" s="287"/>
      <c r="R52" s="287"/>
      <c r="S52" s="287"/>
      <c r="T52" s="287"/>
      <c r="U52" s="287"/>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370"/>
      <c r="AS52" s="287"/>
      <c r="AT52" s="369"/>
      <c r="AU52" s="360"/>
      <c r="AV52" s="287"/>
      <c r="AW52" s="287"/>
      <c r="AX52" s="287"/>
      <c r="AY52" s="364" t="s">
        <v>638</v>
      </c>
      <c r="AZ52" s="287"/>
      <c r="BA52" s="287"/>
      <c r="BB52" s="1544">
        <f ca="1">IF(test="O.K.",Poistné!$D$26,"?")</f>
        <v>21.18</v>
      </c>
      <c r="BC52" s="1545"/>
      <c r="BD52" s="1545"/>
      <c r="BE52" s="1545"/>
      <c r="BF52" s="1546"/>
      <c r="BG52" s="332" t="s">
        <v>645</v>
      </c>
      <c r="BH52" s="386"/>
      <c r="BI52" s="318"/>
      <c r="BJ52" s="287"/>
      <c r="BK52" s="287"/>
      <c r="BL52" s="287"/>
      <c r="BM52" s="287"/>
      <c r="BN52" s="287"/>
      <c r="BO52" s="287"/>
    </row>
    <row r="53" spans="1:71" ht="3" customHeight="1">
      <c r="A53" s="391"/>
      <c r="B53" s="269"/>
      <c r="C53" s="387"/>
      <c r="D53" s="269"/>
      <c r="E53" s="269"/>
      <c r="F53" s="269"/>
      <c r="G53" s="269"/>
      <c r="H53" s="269"/>
      <c r="I53" s="269"/>
      <c r="J53" s="269"/>
      <c r="K53" s="269"/>
      <c r="L53" s="269"/>
      <c r="M53" s="269"/>
      <c r="N53" s="269"/>
      <c r="O53" s="269"/>
      <c r="P53" s="269"/>
      <c r="Q53" s="269"/>
      <c r="R53" s="269"/>
      <c r="S53" s="269"/>
      <c r="T53" s="269"/>
      <c r="U53" s="269"/>
      <c r="V53" s="269"/>
      <c r="W53" s="269"/>
      <c r="X53" s="269"/>
      <c r="Y53" s="269"/>
      <c r="Z53" s="269"/>
      <c r="AA53" s="269"/>
      <c r="AB53" s="269"/>
      <c r="AC53" s="269"/>
      <c r="AD53" s="269"/>
      <c r="AE53" s="269"/>
      <c r="AF53" s="269"/>
      <c r="AG53" s="269"/>
      <c r="AH53" s="269"/>
      <c r="AI53" s="269"/>
      <c r="AJ53" s="269"/>
      <c r="AK53" s="269"/>
      <c r="AL53" s="269"/>
      <c r="AM53" s="269"/>
      <c r="AN53" s="269"/>
      <c r="AO53" s="269"/>
      <c r="AP53" s="269"/>
      <c r="AQ53" s="269"/>
      <c r="AR53" s="269"/>
      <c r="AS53" s="269"/>
      <c r="AT53" s="269"/>
      <c r="AU53" s="269"/>
      <c r="AV53" s="269"/>
      <c r="AW53" s="269"/>
      <c r="AX53" s="269"/>
      <c r="AY53" s="269"/>
      <c r="AZ53" s="269"/>
      <c r="BA53" s="269"/>
      <c r="BB53" s="269"/>
      <c r="BC53" s="269"/>
      <c r="BD53" s="269"/>
      <c r="BE53" s="269"/>
      <c r="BF53" s="269"/>
      <c r="BG53" s="389"/>
      <c r="BH53" s="269"/>
      <c r="BI53" s="392"/>
      <c r="BJ53" s="287"/>
      <c r="BK53" s="287"/>
      <c r="BL53" s="287"/>
      <c r="BM53" s="287"/>
      <c r="BN53" s="287"/>
      <c r="BO53" s="287"/>
    </row>
    <row r="54" spans="1:71" s="399" customFormat="1" ht="3.75" customHeight="1">
      <c r="A54" s="393"/>
      <c r="B54" s="285"/>
      <c r="C54" s="394"/>
      <c r="D54" s="285"/>
      <c r="E54" s="285"/>
      <c r="F54" s="285"/>
      <c r="G54" s="285"/>
      <c r="H54" s="285"/>
      <c r="I54" s="285"/>
      <c r="J54" s="285"/>
      <c r="K54" s="285"/>
      <c r="L54" s="285"/>
      <c r="M54" s="285"/>
      <c r="N54" s="285"/>
      <c r="O54" s="285"/>
      <c r="P54" s="285"/>
      <c r="Q54" s="285"/>
      <c r="R54" s="285"/>
      <c r="S54" s="285"/>
      <c r="T54" s="285"/>
      <c r="U54" s="285"/>
      <c r="V54" s="285"/>
      <c r="W54" s="395"/>
      <c r="X54" s="395"/>
      <c r="Y54" s="395"/>
      <c r="Z54" s="395"/>
      <c r="AA54" s="395"/>
      <c r="AB54" s="395"/>
      <c r="AC54" s="395"/>
      <c r="AD54" s="395"/>
      <c r="AE54" s="395"/>
      <c r="AF54" s="395"/>
      <c r="AG54" s="395"/>
      <c r="AH54" s="395"/>
      <c r="AI54" s="395"/>
      <c r="AJ54" s="395"/>
      <c r="AK54" s="395"/>
      <c r="AL54" s="395"/>
      <c r="AM54" s="396"/>
      <c r="AN54" s="395"/>
      <c r="AO54" s="395"/>
      <c r="AP54" s="397"/>
      <c r="AQ54" s="395"/>
      <c r="AR54" s="395"/>
      <c r="AS54" s="395"/>
      <c r="AT54" s="395"/>
      <c r="AU54" s="395"/>
      <c r="AV54" s="395"/>
      <c r="AW54" s="395"/>
      <c r="AX54" s="395"/>
      <c r="AY54" s="396"/>
      <c r="AZ54" s="395"/>
      <c r="BA54" s="395"/>
      <c r="BB54" s="397"/>
      <c r="BC54" s="395"/>
      <c r="BD54" s="395"/>
      <c r="BE54" s="395"/>
      <c r="BF54" s="395"/>
      <c r="BG54" s="395"/>
      <c r="BH54" s="395"/>
      <c r="BI54" s="398"/>
      <c r="BK54" s="400"/>
      <c r="BL54" s="401"/>
      <c r="BM54" s="401"/>
      <c r="BN54" s="401"/>
      <c r="BO54" s="401"/>
      <c r="BP54" s="401"/>
    </row>
    <row r="55" spans="1:71" s="399" customFormat="1" ht="11.25" customHeight="1">
      <c r="A55" s="402"/>
      <c r="B55" s="332" t="s">
        <v>664</v>
      </c>
      <c r="C55" s="332"/>
      <c r="D55" s="331"/>
      <c r="E55" s="331"/>
      <c r="F55" s="331"/>
      <c r="G55" s="331"/>
      <c r="H55" s="331"/>
      <c r="I55" s="331"/>
      <c r="J55" s="331"/>
      <c r="K55" s="287"/>
      <c r="L55" s="287"/>
      <c r="M55" s="287"/>
      <c r="N55" s="287"/>
      <c r="O55" s="287"/>
      <c r="P55" s="287"/>
      <c r="Q55" s="287"/>
      <c r="R55" s="287"/>
      <c r="S55" s="287"/>
      <c r="T55" s="287"/>
      <c r="U55" s="287"/>
      <c r="V55" s="287"/>
      <c r="W55" s="401"/>
      <c r="X55" s="401"/>
      <c r="Y55" s="401"/>
      <c r="Z55" s="401"/>
      <c r="AA55" s="401"/>
      <c r="AB55" s="401"/>
      <c r="AC55" s="401"/>
      <c r="AD55" s="362" t="str">
        <f>IF(Bronze_D=TRUE,"X","")</f>
        <v/>
      </c>
      <c r="AE55" s="403" t="s">
        <v>652</v>
      </c>
      <c r="AF55" s="401"/>
      <c r="AG55" s="401"/>
      <c r="AH55" s="401"/>
      <c r="AI55" s="401"/>
      <c r="AJ55" s="404"/>
      <c r="AK55" s="404"/>
      <c r="AL55" s="404"/>
      <c r="AM55" s="405"/>
      <c r="AN55" s="401"/>
      <c r="AO55" s="401"/>
      <c r="AP55" s="362" t="str">
        <f>IF(Silver_D=TRUE,"X","")</f>
        <v/>
      </c>
      <c r="AQ55" s="403" t="s">
        <v>653</v>
      </c>
      <c r="AR55" s="404"/>
      <c r="AS55" s="404"/>
      <c r="AT55" s="404"/>
      <c r="AU55" s="404"/>
      <c r="AV55" s="404"/>
      <c r="AW55" s="404"/>
      <c r="AX55" s="404"/>
      <c r="AY55" s="405"/>
      <c r="AZ55" s="401"/>
      <c r="BA55" s="401"/>
      <c r="BB55" s="362" t="str">
        <f>IF(Gold_D=TRUE,"X","")</f>
        <v/>
      </c>
      <c r="BC55" s="403" t="s">
        <v>654</v>
      </c>
      <c r="BD55" s="404"/>
      <c r="BE55" s="404"/>
      <c r="BF55" s="403"/>
      <c r="BG55" s="404"/>
      <c r="BH55" s="404"/>
      <c r="BI55" s="406"/>
      <c r="BK55" s="400"/>
      <c r="BR55" s="401"/>
      <c r="BS55" s="401"/>
    </row>
    <row r="56" spans="1:71" s="417" customFormat="1" ht="15.75" customHeight="1">
      <c r="A56" s="307"/>
      <c r="B56" s="329" t="s">
        <v>665</v>
      </c>
      <c r="C56" s="329"/>
      <c r="D56" s="310"/>
      <c r="E56" s="310"/>
      <c r="F56" s="310"/>
      <c r="G56" s="310"/>
      <c r="H56" s="310"/>
      <c r="I56" s="310"/>
      <c r="J56" s="310"/>
      <c r="K56" s="310"/>
      <c r="L56" s="310"/>
      <c r="M56" s="310"/>
      <c r="N56" s="310"/>
      <c r="O56" s="310"/>
      <c r="P56" s="310"/>
      <c r="Q56" s="310"/>
      <c r="R56" s="310"/>
      <c r="S56" s="310"/>
      <c r="T56" s="310"/>
      <c r="U56" s="310"/>
      <c r="V56" s="310"/>
      <c r="W56" s="407"/>
      <c r="X56" s="407"/>
      <c r="Y56" s="407"/>
      <c r="Z56" s="407"/>
      <c r="AA56" s="407"/>
      <c r="AB56" s="408"/>
      <c r="AC56" s="408"/>
      <c r="AD56" s="409"/>
      <c r="AE56" s="409"/>
      <c r="AF56" s="410"/>
      <c r="AG56" s="411" t="s">
        <v>666</v>
      </c>
      <c r="AH56" s="409"/>
      <c r="AI56" s="409"/>
      <c r="AJ56" s="409"/>
      <c r="AK56" s="409"/>
      <c r="AL56" s="409"/>
      <c r="AM56" s="412"/>
      <c r="AN56" s="409"/>
      <c r="AO56" s="409"/>
      <c r="AP56" s="409"/>
      <c r="AQ56" s="413"/>
      <c r="AR56" s="411" t="s">
        <v>666</v>
      </c>
      <c r="AS56" s="413"/>
      <c r="AT56" s="413"/>
      <c r="AU56" s="413"/>
      <c r="AV56" s="413"/>
      <c r="AW56" s="413"/>
      <c r="AX56" s="413"/>
      <c r="AY56" s="414"/>
      <c r="AZ56" s="409"/>
      <c r="BA56" s="409"/>
      <c r="BB56" s="409"/>
      <c r="BC56" s="413"/>
      <c r="BD56" s="411" t="s">
        <v>666</v>
      </c>
      <c r="BE56" s="413"/>
      <c r="BF56" s="413"/>
      <c r="BG56" s="413"/>
      <c r="BH56" s="415"/>
      <c r="BI56" s="416"/>
      <c r="BK56" s="418"/>
      <c r="BL56" s="407"/>
      <c r="BR56" s="407"/>
      <c r="BS56" s="407"/>
    </row>
    <row r="57" spans="1:71" s="399" customFormat="1" ht="13.5" customHeight="1">
      <c r="A57" s="374"/>
      <c r="B57" s="287"/>
      <c r="C57" s="360" t="s">
        <v>651</v>
      </c>
      <c r="D57" s="360"/>
      <c r="E57" s="419"/>
      <c r="F57" s="419"/>
      <c r="G57" s="287"/>
      <c r="H57" s="419"/>
      <c r="I57" s="360"/>
      <c r="J57" s="287"/>
      <c r="K57" s="287"/>
      <c r="L57" s="287"/>
      <c r="M57" s="287"/>
      <c r="N57" s="287"/>
      <c r="O57" s="287"/>
      <c r="P57" s="287"/>
      <c r="Q57" s="287"/>
      <c r="R57" s="287"/>
      <c r="S57" s="287"/>
      <c r="T57" s="287"/>
      <c r="U57" s="287"/>
      <c r="V57" s="287"/>
      <c r="W57" s="401"/>
      <c r="X57" s="401"/>
      <c r="Y57" s="401"/>
      <c r="Z57" s="401"/>
      <c r="AA57" s="401"/>
      <c r="AB57" s="401"/>
      <c r="AC57" s="401"/>
      <c r="AD57" s="1524">
        <v>3000</v>
      </c>
      <c r="AE57" s="1525"/>
      <c r="AF57" s="1525"/>
      <c r="AG57" s="1525"/>
      <c r="AH57" s="1526"/>
      <c r="AI57" s="420" t="s">
        <v>645</v>
      </c>
      <c r="AJ57" s="420"/>
      <c r="AK57" s="421"/>
      <c r="AL57" s="421"/>
      <c r="AM57" s="422"/>
      <c r="AN57" s="421"/>
      <c r="AO57" s="421"/>
      <c r="AP57" s="1524">
        <v>5500</v>
      </c>
      <c r="AQ57" s="1525"/>
      <c r="AR57" s="1525"/>
      <c r="AS57" s="1525"/>
      <c r="AT57" s="1526"/>
      <c r="AU57" s="420" t="s">
        <v>645</v>
      </c>
      <c r="AV57" s="420"/>
      <c r="AW57" s="423"/>
      <c r="AX57" s="421"/>
      <c r="AY57" s="422"/>
      <c r="AZ57" s="421"/>
      <c r="BA57" s="421"/>
      <c r="BB57" s="1524">
        <v>8000</v>
      </c>
      <c r="BC57" s="1525"/>
      <c r="BD57" s="1525"/>
      <c r="BE57" s="1525"/>
      <c r="BF57" s="1526"/>
      <c r="BG57" s="424" t="s">
        <v>80</v>
      </c>
      <c r="BH57" s="425"/>
      <c r="BI57" s="406"/>
      <c r="BK57" s="400"/>
      <c r="BL57" s="401"/>
      <c r="BM57" s="401"/>
      <c r="BN57" s="401"/>
      <c r="BO57" s="401"/>
      <c r="BP57" s="401"/>
      <c r="BQ57" s="401"/>
      <c r="BR57" s="401"/>
      <c r="BS57" s="401"/>
    </row>
    <row r="58" spans="1:71" s="399" customFormat="1" ht="3" customHeight="1">
      <c r="A58" s="426"/>
      <c r="B58" s="401"/>
      <c r="C58" s="427"/>
      <c r="D58" s="427"/>
      <c r="E58" s="401"/>
      <c r="F58" s="401"/>
      <c r="G58" s="401"/>
      <c r="H58" s="401"/>
      <c r="I58" s="401"/>
      <c r="J58" s="401"/>
      <c r="K58" s="401"/>
      <c r="L58" s="401"/>
      <c r="M58" s="401"/>
      <c r="N58" s="401"/>
      <c r="O58" s="401"/>
      <c r="P58" s="401"/>
      <c r="Q58" s="401"/>
      <c r="R58" s="401"/>
      <c r="S58" s="401"/>
      <c r="T58" s="401"/>
      <c r="U58" s="401"/>
      <c r="V58" s="401"/>
      <c r="W58" s="401"/>
      <c r="X58" s="401"/>
      <c r="Y58" s="401"/>
      <c r="Z58" s="401"/>
      <c r="AA58" s="401"/>
      <c r="AB58" s="401"/>
      <c r="AC58" s="401"/>
      <c r="AD58" s="428"/>
      <c r="AE58" s="428"/>
      <c r="AF58" s="428"/>
      <c r="AG58" s="428"/>
      <c r="AH58" s="428"/>
      <c r="AI58" s="420"/>
      <c r="AJ58" s="420"/>
      <c r="AK58" s="421"/>
      <c r="AL58" s="421"/>
      <c r="AM58" s="422"/>
      <c r="AN58" s="421"/>
      <c r="AO58" s="421"/>
      <c r="AP58" s="428"/>
      <c r="AQ58" s="428"/>
      <c r="AR58" s="428"/>
      <c r="AS58" s="428"/>
      <c r="AT58" s="428"/>
      <c r="AU58" s="420"/>
      <c r="AV58" s="420"/>
      <c r="AW58" s="423"/>
      <c r="AX58" s="421"/>
      <c r="AY58" s="422"/>
      <c r="AZ58" s="421"/>
      <c r="BA58" s="421"/>
      <c r="BB58" s="428"/>
      <c r="BC58" s="428"/>
      <c r="BD58" s="428"/>
      <c r="BE58" s="428"/>
      <c r="BF58" s="428"/>
      <c r="BG58" s="425"/>
      <c r="BH58" s="425"/>
      <c r="BI58" s="406"/>
      <c r="BK58" s="429"/>
      <c r="BL58" s="401"/>
    </row>
    <row r="59" spans="1:71" s="399" customFormat="1" ht="13.5" customHeight="1">
      <c r="A59" s="426"/>
      <c r="B59" s="401"/>
      <c r="C59" s="427" t="s">
        <v>61</v>
      </c>
      <c r="D59" s="427"/>
      <c r="E59" s="401"/>
      <c r="F59" s="401"/>
      <c r="G59" s="401"/>
      <c r="H59" s="401"/>
      <c r="I59" s="401"/>
      <c r="J59" s="401"/>
      <c r="K59" s="401"/>
      <c r="L59" s="401"/>
      <c r="M59" s="401"/>
      <c r="N59" s="401"/>
      <c r="O59" s="401"/>
      <c r="P59" s="401"/>
      <c r="Q59" s="401"/>
      <c r="R59" s="401"/>
      <c r="S59" s="401"/>
      <c r="T59" s="401"/>
      <c r="U59" s="401"/>
      <c r="V59" s="401"/>
      <c r="W59" s="401"/>
      <c r="X59" s="401"/>
      <c r="Y59" s="401"/>
      <c r="Z59" s="401"/>
      <c r="AA59" s="401"/>
      <c r="AB59" s="401"/>
      <c r="AC59" s="401"/>
      <c r="AD59" s="1524">
        <v>500</v>
      </c>
      <c r="AE59" s="1525"/>
      <c r="AF59" s="1525"/>
      <c r="AG59" s="1525"/>
      <c r="AH59" s="1526"/>
      <c r="AI59" s="420" t="s">
        <v>645</v>
      </c>
      <c r="AJ59" s="420"/>
      <c r="AK59" s="421"/>
      <c r="AL59" s="421"/>
      <c r="AM59" s="422"/>
      <c r="AN59" s="421"/>
      <c r="AO59" s="421"/>
      <c r="AP59" s="1524">
        <v>500</v>
      </c>
      <c r="AQ59" s="1525"/>
      <c r="AR59" s="1525"/>
      <c r="AS59" s="1525"/>
      <c r="AT59" s="1526"/>
      <c r="AU59" s="420" t="s">
        <v>645</v>
      </c>
      <c r="AV59" s="420"/>
      <c r="AW59" s="423"/>
      <c r="AX59" s="421"/>
      <c r="AY59" s="422"/>
      <c r="AZ59" s="421"/>
      <c r="BA59" s="421"/>
      <c r="BB59" s="1524">
        <v>500</v>
      </c>
      <c r="BC59" s="1525"/>
      <c r="BD59" s="1525"/>
      <c r="BE59" s="1525"/>
      <c r="BF59" s="1526"/>
      <c r="BG59" s="424" t="s">
        <v>80</v>
      </c>
      <c r="BH59" s="425"/>
      <c r="BI59" s="406"/>
      <c r="BK59" s="429"/>
      <c r="BL59" s="401"/>
    </row>
    <row r="60" spans="1:71" s="399" customFormat="1" ht="4.5" customHeight="1">
      <c r="A60" s="426"/>
      <c r="B60" s="401"/>
      <c r="C60" s="427"/>
      <c r="D60" s="427"/>
      <c r="E60" s="401"/>
      <c r="F60" s="401"/>
      <c r="G60" s="401"/>
      <c r="H60" s="401"/>
      <c r="I60" s="401"/>
      <c r="J60" s="401"/>
      <c r="K60" s="401"/>
      <c r="L60" s="401"/>
      <c r="M60" s="401"/>
      <c r="N60" s="401"/>
      <c r="O60" s="401"/>
      <c r="P60" s="401"/>
      <c r="Q60" s="401"/>
      <c r="R60" s="401"/>
      <c r="S60" s="401"/>
      <c r="T60" s="401"/>
      <c r="U60" s="401"/>
      <c r="V60" s="401"/>
      <c r="W60" s="401"/>
      <c r="X60" s="401"/>
      <c r="Y60" s="401"/>
      <c r="Z60" s="401"/>
      <c r="AA60" s="401"/>
      <c r="AB60" s="401"/>
      <c r="AC60" s="401"/>
      <c r="AD60" s="428"/>
      <c r="AE60" s="428"/>
      <c r="AF60" s="428"/>
      <c r="AG60" s="428"/>
      <c r="AH60" s="428"/>
      <c r="AI60" s="420"/>
      <c r="AJ60" s="420"/>
      <c r="AK60" s="421"/>
      <c r="AL60" s="421"/>
      <c r="AM60" s="422"/>
      <c r="AN60" s="421"/>
      <c r="AO60" s="421"/>
      <c r="AP60" s="428"/>
      <c r="AQ60" s="428"/>
      <c r="AR60" s="428"/>
      <c r="AS60" s="428"/>
      <c r="AT60" s="428"/>
      <c r="AU60" s="420"/>
      <c r="AV60" s="420"/>
      <c r="AW60" s="423"/>
      <c r="AX60" s="421"/>
      <c r="AY60" s="422"/>
      <c r="AZ60" s="421"/>
      <c r="BA60" s="421"/>
      <c r="BB60" s="428"/>
      <c r="BC60" s="428"/>
      <c r="BD60" s="428"/>
      <c r="BE60" s="428"/>
      <c r="BF60" s="428"/>
      <c r="BG60" s="425"/>
      <c r="BH60" s="425"/>
      <c r="BI60" s="406"/>
      <c r="BK60" s="429"/>
      <c r="BL60" s="401"/>
    </row>
    <row r="61" spans="1:71" s="399" customFormat="1" ht="13.5" customHeight="1">
      <c r="A61" s="426"/>
      <c r="B61" s="401"/>
      <c r="C61" s="427" t="s">
        <v>667</v>
      </c>
      <c r="D61" s="427"/>
      <c r="E61" s="401"/>
      <c r="F61" s="401"/>
      <c r="G61" s="401"/>
      <c r="H61" s="401"/>
      <c r="I61" s="401"/>
      <c r="J61" s="401"/>
      <c r="K61" s="401"/>
      <c r="L61" s="401"/>
      <c r="M61" s="401"/>
      <c r="N61" s="401"/>
      <c r="O61" s="401"/>
      <c r="P61" s="401"/>
      <c r="Q61" s="401"/>
      <c r="R61" s="401"/>
      <c r="S61" s="401"/>
      <c r="T61" s="401"/>
      <c r="U61" s="401"/>
      <c r="V61" s="401"/>
      <c r="W61" s="401"/>
      <c r="X61" s="401"/>
      <c r="Y61" s="401"/>
      <c r="Z61" s="401"/>
      <c r="AA61" s="401"/>
      <c r="AB61" s="401"/>
      <c r="AC61" s="401"/>
      <c r="AD61" s="1524">
        <v>1000</v>
      </c>
      <c r="AE61" s="1525"/>
      <c r="AF61" s="1525"/>
      <c r="AG61" s="1525"/>
      <c r="AH61" s="1526"/>
      <c r="AI61" s="420" t="s">
        <v>645</v>
      </c>
      <c r="AJ61" s="420"/>
      <c r="AK61" s="421"/>
      <c r="AL61" s="421"/>
      <c r="AM61" s="422"/>
      <c r="AN61" s="421"/>
      <c r="AO61" s="421"/>
      <c r="AP61" s="1524">
        <v>2000</v>
      </c>
      <c r="AQ61" s="1525"/>
      <c r="AR61" s="1525"/>
      <c r="AS61" s="1525"/>
      <c r="AT61" s="1526"/>
      <c r="AU61" s="420" t="s">
        <v>645</v>
      </c>
      <c r="AV61" s="420"/>
      <c r="AW61" s="423"/>
      <c r="AX61" s="421"/>
      <c r="AY61" s="422"/>
      <c r="AZ61" s="421"/>
      <c r="BA61" s="421"/>
      <c r="BB61" s="1524">
        <v>3000</v>
      </c>
      <c r="BC61" s="1525"/>
      <c r="BD61" s="1525"/>
      <c r="BE61" s="1525"/>
      <c r="BF61" s="1526"/>
      <c r="BG61" s="424" t="s">
        <v>80</v>
      </c>
      <c r="BH61" s="425"/>
      <c r="BI61" s="406"/>
      <c r="BK61" s="429"/>
      <c r="BL61" s="401"/>
    </row>
    <row r="62" spans="1:71" s="399" customFormat="1" ht="4.5" customHeight="1">
      <c r="A62" s="430"/>
      <c r="B62" s="401"/>
      <c r="C62" s="401"/>
      <c r="D62" s="401"/>
      <c r="E62" s="401"/>
      <c r="F62" s="401"/>
      <c r="G62" s="401"/>
      <c r="H62" s="401"/>
      <c r="I62" s="401"/>
      <c r="J62" s="401"/>
      <c r="K62" s="401"/>
      <c r="L62" s="401"/>
      <c r="M62" s="401"/>
      <c r="N62" s="401"/>
      <c r="O62" s="401"/>
      <c r="P62" s="401"/>
      <c r="Q62" s="401"/>
      <c r="R62" s="401"/>
      <c r="S62" s="401"/>
      <c r="T62" s="401"/>
      <c r="U62" s="401"/>
      <c r="V62" s="401"/>
      <c r="W62" s="401"/>
      <c r="X62" s="401"/>
      <c r="Y62" s="401"/>
      <c r="Z62" s="401"/>
      <c r="AA62" s="401"/>
      <c r="AB62" s="401"/>
      <c r="AC62" s="431"/>
      <c r="AD62" s="432"/>
      <c r="AE62" s="432"/>
      <c r="AF62" s="432"/>
      <c r="AG62" s="432"/>
      <c r="AH62" s="432"/>
      <c r="AI62" s="433"/>
      <c r="AJ62" s="434"/>
      <c r="AK62" s="435"/>
      <c r="AL62" s="435"/>
      <c r="AM62" s="436"/>
      <c r="AN62" s="435"/>
      <c r="AO62" s="437"/>
      <c r="AP62" s="432"/>
      <c r="AQ62" s="432"/>
      <c r="AR62" s="432"/>
      <c r="AS62" s="432"/>
      <c r="AT62" s="432"/>
      <c r="AU62" s="433"/>
      <c r="AV62" s="434"/>
      <c r="AW62" s="438"/>
      <c r="AX62" s="439"/>
      <c r="AY62" s="440"/>
      <c r="AZ62" s="435"/>
      <c r="BA62" s="437"/>
      <c r="BB62" s="432"/>
      <c r="BC62" s="432"/>
      <c r="BD62" s="432"/>
      <c r="BE62" s="432"/>
      <c r="BF62" s="432"/>
      <c r="BG62" s="433"/>
      <c r="BH62" s="425"/>
      <c r="BI62" s="406"/>
      <c r="BK62" s="429"/>
      <c r="BL62" s="401"/>
    </row>
    <row r="63" spans="1:71" s="399" customFormat="1" ht="5.25" customHeight="1" thickBot="1">
      <c r="A63" s="430"/>
      <c r="B63" s="427"/>
      <c r="C63" s="401"/>
      <c r="D63" s="401"/>
      <c r="E63" s="401"/>
      <c r="F63" s="401"/>
      <c r="G63" s="401"/>
      <c r="H63" s="401"/>
      <c r="I63" s="401"/>
      <c r="J63" s="401"/>
      <c r="K63" s="401"/>
      <c r="L63" s="401"/>
      <c r="M63" s="401"/>
      <c r="N63" s="401"/>
      <c r="O63" s="401"/>
      <c r="P63" s="401"/>
      <c r="Q63" s="401"/>
      <c r="R63" s="401"/>
      <c r="S63" s="401"/>
      <c r="T63" s="427"/>
      <c r="U63" s="427"/>
      <c r="V63" s="401"/>
      <c r="W63" s="401"/>
      <c r="X63" s="401"/>
      <c r="Y63" s="401"/>
      <c r="Z63" s="401"/>
      <c r="AA63" s="401"/>
      <c r="AB63" s="401"/>
      <c r="AC63" s="401"/>
      <c r="AD63" s="441"/>
      <c r="AE63" s="441"/>
      <c r="AF63" s="441"/>
      <c r="AG63" s="441"/>
      <c r="AH63" s="441"/>
      <c r="AI63" s="424"/>
      <c r="AJ63" s="424"/>
      <c r="AK63" s="401"/>
      <c r="AL63" s="401"/>
      <c r="AM63" s="442"/>
      <c r="AN63" s="401"/>
      <c r="AO63" s="401"/>
      <c r="AP63" s="443"/>
      <c r="AQ63" s="443"/>
      <c r="AR63" s="443"/>
      <c r="AS63" s="443"/>
      <c r="AT63" s="443"/>
      <c r="AU63" s="424"/>
      <c r="AV63" s="424"/>
      <c r="AW63" s="438"/>
      <c r="AX63" s="444"/>
      <c r="AY63" s="445"/>
      <c r="AZ63" s="401"/>
      <c r="BA63" s="401"/>
      <c r="BB63" s="443"/>
      <c r="BC63" s="443"/>
      <c r="BD63" s="443"/>
      <c r="BE63" s="443"/>
      <c r="BF63" s="443"/>
      <c r="BG63" s="446"/>
      <c r="BH63" s="425"/>
      <c r="BI63" s="406"/>
      <c r="BK63" s="429"/>
      <c r="BL63" s="401"/>
    </row>
    <row r="64" spans="1:71" s="399" customFormat="1" ht="15.75" customHeight="1" thickBot="1">
      <c r="A64" s="430"/>
      <c r="B64" s="427"/>
      <c r="C64" s="401"/>
      <c r="D64" s="401"/>
      <c r="E64" s="401"/>
      <c r="F64" s="401"/>
      <c r="G64" s="401"/>
      <c r="H64" s="401"/>
      <c r="I64" s="447"/>
      <c r="J64" s="447"/>
      <c r="K64" s="447"/>
      <c r="L64" s="447"/>
      <c r="M64" s="447"/>
      <c r="N64" s="447"/>
      <c r="O64" s="447"/>
      <c r="P64" s="447"/>
      <c r="Q64" s="447"/>
      <c r="R64" s="447"/>
      <c r="S64" s="447"/>
      <c r="T64" s="448"/>
      <c r="U64" s="448"/>
      <c r="V64" s="447"/>
      <c r="W64" s="447"/>
      <c r="X64" s="447"/>
      <c r="Y64" s="447"/>
      <c r="Z64" s="447"/>
      <c r="AA64" s="444"/>
      <c r="AB64" s="449" t="s">
        <v>639</v>
      </c>
      <c r="AC64" s="401"/>
      <c r="AD64" s="1530" t="str">
        <f ca="1">IF(AND(test="O.K.",Bronze_D=TRUE),sadzba_1baldeti/t,"")</f>
        <v/>
      </c>
      <c r="AE64" s="1531"/>
      <c r="AF64" s="1531"/>
      <c r="AG64" s="1531"/>
      <c r="AH64" s="1532"/>
      <c r="AI64" s="424" t="s">
        <v>645</v>
      </c>
      <c r="AJ64" s="424"/>
      <c r="AK64" s="401"/>
      <c r="AL64" s="401"/>
      <c r="AM64" s="442"/>
      <c r="AN64" s="401"/>
      <c r="AO64" s="401"/>
      <c r="AP64" s="1530" t="str">
        <f ca="1">IF(AND(test="O.K.",Silver_D=TRUE),sadzba_2baldeti/t,"")</f>
        <v/>
      </c>
      <c r="AQ64" s="1531"/>
      <c r="AR64" s="1531"/>
      <c r="AS64" s="1531"/>
      <c r="AT64" s="1532"/>
      <c r="AU64" s="424" t="s">
        <v>645</v>
      </c>
      <c r="AV64" s="424"/>
      <c r="AW64" s="438"/>
      <c r="AX64" s="444"/>
      <c r="AY64" s="445"/>
      <c r="AZ64" s="401"/>
      <c r="BA64" s="401"/>
      <c r="BB64" s="1530" t="str">
        <f ca="1">IF(AND(test="O.K.",Gold_D=TRUE),sadzba_3baldeti/t,"")</f>
        <v/>
      </c>
      <c r="BC64" s="1531"/>
      <c r="BD64" s="1531"/>
      <c r="BE64" s="1531"/>
      <c r="BF64" s="1532"/>
      <c r="BG64" s="424" t="s">
        <v>80</v>
      </c>
      <c r="BH64" s="425"/>
      <c r="BI64" s="406"/>
      <c r="BK64" s="429"/>
      <c r="BL64" s="401"/>
    </row>
    <row r="65" spans="1:71" s="399" customFormat="1" ht="4.5" customHeight="1">
      <c r="A65" s="450"/>
      <c r="B65" s="451"/>
      <c r="C65" s="451"/>
      <c r="D65" s="452"/>
      <c r="E65" s="452"/>
      <c r="F65" s="452"/>
      <c r="G65" s="452"/>
      <c r="H65" s="452"/>
      <c r="I65" s="452"/>
      <c r="J65" s="452"/>
      <c r="K65" s="452"/>
      <c r="L65" s="452"/>
      <c r="M65" s="452"/>
      <c r="N65" s="452"/>
      <c r="O65" s="452"/>
      <c r="P65" s="452"/>
      <c r="Q65" s="452"/>
      <c r="R65" s="452"/>
      <c r="S65" s="452"/>
      <c r="T65" s="451"/>
      <c r="U65" s="451"/>
      <c r="V65" s="452"/>
      <c r="W65" s="401"/>
      <c r="X65" s="401"/>
      <c r="Y65" s="401"/>
      <c r="Z65" s="401"/>
      <c r="AA65" s="401"/>
      <c r="AB65" s="401"/>
      <c r="AC65" s="401"/>
      <c r="AD65" s="427"/>
      <c r="AE65" s="427"/>
      <c r="AF65" s="427"/>
      <c r="AG65" s="427"/>
      <c r="AH65" s="401"/>
      <c r="AI65" s="401"/>
      <c r="AJ65" s="401"/>
      <c r="AK65" s="401"/>
      <c r="AL65" s="401"/>
      <c r="AM65" s="453"/>
      <c r="AN65" s="401"/>
      <c r="AO65" s="401"/>
      <c r="AP65" s="454"/>
      <c r="AQ65" s="454"/>
      <c r="AR65" s="454"/>
      <c r="AS65" s="454"/>
      <c r="AT65" s="454"/>
      <c r="AU65" s="455"/>
      <c r="AV65" s="456"/>
      <c r="AW65" s="438"/>
      <c r="AX65" s="457"/>
      <c r="AY65" s="458"/>
      <c r="AZ65" s="401"/>
      <c r="BA65" s="401"/>
      <c r="BB65" s="457"/>
      <c r="BC65" s="457"/>
      <c r="BD65" s="457"/>
      <c r="BE65" s="459"/>
      <c r="BF65" s="459"/>
      <c r="BG65" s="459"/>
      <c r="BH65" s="401"/>
      <c r="BI65" s="406"/>
      <c r="BK65" s="429"/>
    </row>
    <row r="66" spans="1:71" s="399" customFormat="1" ht="14.25" customHeight="1">
      <c r="A66" s="450"/>
      <c r="B66" s="460"/>
      <c r="C66" s="460"/>
      <c r="D66" s="461"/>
      <c r="E66" s="461"/>
      <c r="F66" s="461"/>
      <c r="G66" s="461"/>
      <c r="H66" s="461"/>
      <c r="I66" s="461"/>
      <c r="J66" s="461"/>
      <c r="K66" s="461"/>
      <c r="L66" s="461"/>
      <c r="M66" s="461"/>
      <c r="N66" s="461"/>
      <c r="O66" s="461"/>
      <c r="P66" s="461"/>
      <c r="Q66" s="461"/>
      <c r="R66" s="461"/>
      <c r="S66" s="461"/>
      <c r="T66" s="461"/>
      <c r="U66" s="461"/>
      <c r="V66" s="452"/>
      <c r="W66" s="401"/>
      <c r="X66" s="401"/>
      <c r="Y66" s="401"/>
      <c r="Z66" s="401"/>
      <c r="AA66" s="401"/>
      <c r="AB66" s="448"/>
      <c r="AC66" s="448"/>
      <c r="AD66" s="448"/>
      <c r="AE66" s="448"/>
      <c r="AF66" s="462" t="s">
        <v>668</v>
      </c>
      <c r="AG66" s="448"/>
      <c r="AH66" s="448"/>
      <c r="AI66" s="448"/>
      <c r="AJ66" s="441"/>
      <c r="AK66" s="441"/>
      <c r="AL66" s="441"/>
      <c r="AM66" s="463"/>
      <c r="AN66" s="448"/>
      <c r="AO66" s="448"/>
      <c r="AP66" s="448"/>
      <c r="AQ66" s="464"/>
      <c r="AR66" s="462" t="s">
        <v>668</v>
      </c>
      <c r="AS66" s="464"/>
      <c r="AT66" s="465"/>
      <c r="AU66" s="465"/>
      <c r="AV66" s="448"/>
      <c r="AW66" s="441"/>
      <c r="AX66" s="448"/>
      <c r="AY66" s="466"/>
      <c r="AZ66" s="448"/>
      <c r="BA66" s="448"/>
      <c r="BB66" s="448"/>
      <c r="BC66" s="465"/>
      <c r="BD66" s="462" t="s">
        <v>668</v>
      </c>
      <c r="BE66" s="462"/>
      <c r="BF66" s="462"/>
      <c r="BG66" s="462"/>
      <c r="BH66" s="467"/>
      <c r="BI66" s="468"/>
      <c r="BK66" s="400"/>
      <c r="BM66" s="401"/>
      <c r="BN66" s="401"/>
      <c r="BO66" s="401"/>
      <c r="BP66" s="401"/>
      <c r="BQ66" s="401"/>
      <c r="BR66" s="401"/>
      <c r="BS66" s="401"/>
    </row>
    <row r="67" spans="1:71" s="399" customFormat="1" ht="12" customHeight="1">
      <c r="A67" s="426"/>
      <c r="B67" s="427"/>
      <c r="C67" s="427" t="s">
        <v>669</v>
      </c>
      <c r="D67" s="401"/>
      <c r="E67" s="401"/>
      <c r="F67" s="401"/>
      <c r="G67" s="401"/>
      <c r="H67" s="401"/>
      <c r="I67" s="401"/>
      <c r="J67" s="401"/>
      <c r="K67" s="401"/>
      <c r="L67" s="401"/>
      <c r="M67" s="401"/>
      <c r="N67" s="401"/>
      <c r="O67" s="401"/>
      <c r="P67" s="401"/>
      <c r="Q67" s="401"/>
      <c r="R67" s="401"/>
      <c r="S67" s="401"/>
      <c r="T67" s="401"/>
      <c r="U67" s="401"/>
      <c r="V67" s="401"/>
      <c r="W67" s="401"/>
      <c r="X67" s="401"/>
      <c r="Y67" s="401"/>
      <c r="Z67" s="401"/>
      <c r="AA67" s="401"/>
      <c r="AB67" s="401"/>
      <c r="AC67" s="401"/>
      <c r="AD67" s="1527">
        <f>ROUND($AD$57*30.126,2)</f>
        <v>90378</v>
      </c>
      <c r="AE67" s="1528"/>
      <c r="AF67" s="1528"/>
      <c r="AG67" s="1528"/>
      <c r="AH67" s="1529"/>
      <c r="AI67" s="537" t="s">
        <v>81</v>
      </c>
      <c r="AJ67" s="533"/>
      <c r="AK67" s="534"/>
      <c r="AL67" s="534"/>
      <c r="AM67" s="535"/>
      <c r="AN67" s="533"/>
      <c r="AO67" s="533"/>
      <c r="AP67" s="1527">
        <f>ROUND($AP$57*30.126,2)</f>
        <v>165693</v>
      </c>
      <c r="AQ67" s="1528"/>
      <c r="AR67" s="1528"/>
      <c r="AS67" s="1528"/>
      <c r="AT67" s="1529"/>
      <c r="AU67" s="537" t="s">
        <v>81</v>
      </c>
      <c r="AV67" s="538"/>
      <c r="AW67" s="533"/>
      <c r="AX67" s="533"/>
      <c r="AY67" s="535"/>
      <c r="AZ67" s="533"/>
      <c r="BA67" s="533"/>
      <c r="BB67" s="1527">
        <f>ROUND($BB$57*30.126,2)</f>
        <v>241008</v>
      </c>
      <c r="BC67" s="1528"/>
      <c r="BD67" s="1528"/>
      <c r="BE67" s="1528"/>
      <c r="BF67" s="1529"/>
      <c r="BG67" s="404" t="s">
        <v>81</v>
      </c>
      <c r="BH67" s="403"/>
      <c r="BI67" s="406"/>
      <c r="BK67" s="418"/>
      <c r="BL67" s="401"/>
    </row>
    <row r="68" spans="1:71" s="399" customFormat="1" ht="3.75" customHeight="1">
      <c r="A68" s="426"/>
      <c r="B68" s="427"/>
      <c r="C68" s="427"/>
      <c r="D68" s="401"/>
      <c r="E68" s="401"/>
      <c r="F68" s="401"/>
      <c r="G68" s="401"/>
      <c r="H68" s="401"/>
      <c r="I68" s="401"/>
      <c r="J68" s="401"/>
      <c r="K68" s="401"/>
      <c r="L68" s="401"/>
      <c r="M68" s="401"/>
      <c r="N68" s="401"/>
      <c r="O68" s="401"/>
      <c r="P68" s="401"/>
      <c r="Q68" s="401"/>
      <c r="R68" s="401"/>
      <c r="S68" s="401"/>
      <c r="T68" s="401"/>
      <c r="U68" s="401"/>
      <c r="V68" s="401"/>
      <c r="W68" s="401"/>
      <c r="X68" s="401"/>
      <c r="Y68" s="401"/>
      <c r="Z68" s="401"/>
      <c r="AA68" s="401"/>
      <c r="AB68" s="401"/>
      <c r="AC68" s="401"/>
      <c r="AD68" s="536"/>
      <c r="AE68" s="536"/>
      <c r="AF68" s="536"/>
      <c r="AG68" s="536"/>
      <c r="AH68" s="536"/>
      <c r="AI68" s="537"/>
      <c r="AJ68" s="533"/>
      <c r="AK68" s="534"/>
      <c r="AL68" s="534"/>
      <c r="AM68" s="535"/>
      <c r="AN68" s="533"/>
      <c r="AO68" s="533"/>
      <c r="AP68" s="536"/>
      <c r="AQ68" s="536"/>
      <c r="AR68" s="536"/>
      <c r="AS68" s="536"/>
      <c r="AT68" s="536"/>
      <c r="AU68" s="537"/>
      <c r="AV68" s="538"/>
      <c r="AW68" s="533"/>
      <c r="AX68" s="533"/>
      <c r="AY68" s="535"/>
      <c r="AZ68" s="533"/>
      <c r="BA68" s="533"/>
      <c r="BB68" s="536"/>
      <c r="BC68" s="536"/>
      <c r="BD68" s="536"/>
      <c r="BE68" s="536"/>
      <c r="BF68" s="536"/>
      <c r="BG68" s="401"/>
      <c r="BH68" s="404"/>
      <c r="BI68" s="406"/>
      <c r="BK68" s="429"/>
      <c r="BL68" s="401"/>
    </row>
    <row r="69" spans="1:71" s="399" customFormat="1" ht="12" customHeight="1">
      <c r="A69" s="426"/>
      <c r="B69" s="427"/>
      <c r="C69" s="427" t="s">
        <v>61</v>
      </c>
      <c r="D69" s="401"/>
      <c r="E69" s="401"/>
      <c r="F69" s="401"/>
      <c r="G69" s="401"/>
      <c r="H69" s="401"/>
      <c r="I69" s="401"/>
      <c r="J69" s="401"/>
      <c r="K69" s="401"/>
      <c r="L69" s="401"/>
      <c r="M69" s="401"/>
      <c r="N69" s="401"/>
      <c r="O69" s="401"/>
      <c r="P69" s="401"/>
      <c r="Q69" s="401"/>
      <c r="R69" s="401"/>
      <c r="S69" s="401"/>
      <c r="T69" s="401"/>
      <c r="U69" s="401"/>
      <c r="V69" s="401"/>
      <c r="W69" s="401"/>
      <c r="X69" s="401"/>
      <c r="Y69" s="401"/>
      <c r="Z69" s="401"/>
      <c r="AA69" s="401"/>
      <c r="AB69" s="401"/>
      <c r="AC69" s="401"/>
      <c r="AD69" s="1527">
        <f>ROUND($AD$59*30.126,2)</f>
        <v>15063</v>
      </c>
      <c r="AE69" s="1528"/>
      <c r="AF69" s="1528"/>
      <c r="AG69" s="1528"/>
      <c r="AH69" s="1529"/>
      <c r="AI69" s="537" t="s">
        <v>81</v>
      </c>
      <c r="AJ69" s="533"/>
      <c r="AK69" s="534"/>
      <c r="AL69" s="534"/>
      <c r="AM69" s="535"/>
      <c r="AN69" s="533"/>
      <c r="AO69" s="533"/>
      <c r="AP69" s="1527">
        <f>ROUND($AP$59*30.126,2)</f>
        <v>15063</v>
      </c>
      <c r="AQ69" s="1528"/>
      <c r="AR69" s="1528"/>
      <c r="AS69" s="1528"/>
      <c r="AT69" s="1529"/>
      <c r="AU69" s="537" t="s">
        <v>81</v>
      </c>
      <c r="AV69" s="538"/>
      <c r="AW69" s="533"/>
      <c r="AX69" s="533"/>
      <c r="AY69" s="535"/>
      <c r="AZ69" s="533"/>
      <c r="BA69" s="533"/>
      <c r="BB69" s="1527">
        <f>ROUND($BB$59*30.126,2)</f>
        <v>15063</v>
      </c>
      <c r="BC69" s="1528"/>
      <c r="BD69" s="1528"/>
      <c r="BE69" s="1528"/>
      <c r="BF69" s="1529"/>
      <c r="BG69" s="404" t="s">
        <v>81</v>
      </c>
      <c r="BH69" s="403"/>
      <c r="BI69" s="469"/>
      <c r="BK69" s="400"/>
      <c r="BL69" s="401"/>
    </row>
    <row r="70" spans="1:71" s="399" customFormat="1" ht="3" customHeight="1">
      <c r="A70" s="426"/>
      <c r="B70" s="427"/>
      <c r="C70" s="427"/>
      <c r="D70" s="401"/>
      <c r="E70" s="401"/>
      <c r="F70" s="401"/>
      <c r="G70" s="401"/>
      <c r="H70" s="401"/>
      <c r="I70" s="401"/>
      <c r="J70" s="401"/>
      <c r="K70" s="401"/>
      <c r="L70" s="401"/>
      <c r="M70" s="401"/>
      <c r="N70" s="401"/>
      <c r="O70" s="401"/>
      <c r="P70" s="401"/>
      <c r="Q70" s="401"/>
      <c r="R70" s="401"/>
      <c r="S70" s="401"/>
      <c r="T70" s="401"/>
      <c r="U70" s="401"/>
      <c r="V70" s="401"/>
      <c r="W70" s="401"/>
      <c r="X70" s="401"/>
      <c r="Y70" s="401"/>
      <c r="Z70" s="401"/>
      <c r="AA70" s="401"/>
      <c r="AB70" s="401"/>
      <c r="AC70" s="401"/>
      <c r="AD70" s="536"/>
      <c r="AE70" s="536"/>
      <c r="AF70" s="536"/>
      <c r="AG70" s="536"/>
      <c r="AH70" s="536"/>
      <c r="AI70" s="537"/>
      <c r="AJ70" s="533"/>
      <c r="AK70" s="534"/>
      <c r="AL70" s="534"/>
      <c r="AM70" s="535"/>
      <c r="AN70" s="533"/>
      <c r="AO70" s="533"/>
      <c r="AP70" s="536"/>
      <c r="AQ70" s="536"/>
      <c r="AR70" s="536"/>
      <c r="AS70" s="536"/>
      <c r="AT70" s="536"/>
      <c r="AU70" s="537"/>
      <c r="AV70" s="538"/>
      <c r="AW70" s="533"/>
      <c r="AX70" s="533"/>
      <c r="AY70" s="535"/>
      <c r="AZ70" s="533"/>
      <c r="BA70" s="533"/>
      <c r="BB70" s="536"/>
      <c r="BC70" s="536"/>
      <c r="BD70" s="536"/>
      <c r="BE70" s="536"/>
      <c r="BF70" s="536"/>
      <c r="BG70" s="401"/>
      <c r="BH70" s="404"/>
      <c r="BI70" s="406"/>
      <c r="BK70" s="429"/>
      <c r="BL70" s="401"/>
    </row>
    <row r="71" spans="1:71" s="399" customFormat="1" ht="12.75" customHeight="1">
      <c r="A71" s="430"/>
      <c r="B71" s="427"/>
      <c r="C71" s="427" t="s">
        <v>667</v>
      </c>
      <c r="D71" s="401"/>
      <c r="E71" s="401"/>
      <c r="F71" s="401"/>
      <c r="G71" s="401"/>
      <c r="H71" s="401"/>
      <c r="I71" s="401"/>
      <c r="J71" s="401"/>
      <c r="K71" s="401"/>
      <c r="L71" s="401"/>
      <c r="M71" s="401"/>
      <c r="N71" s="401"/>
      <c r="O71" s="401"/>
      <c r="P71" s="401"/>
      <c r="Q71" s="401"/>
      <c r="R71" s="401"/>
      <c r="S71" s="401"/>
      <c r="T71" s="401"/>
      <c r="U71" s="401"/>
      <c r="V71" s="401"/>
      <c r="W71" s="401"/>
      <c r="X71" s="401"/>
      <c r="Y71" s="401"/>
      <c r="Z71" s="401"/>
      <c r="AA71" s="401"/>
      <c r="AB71" s="401"/>
      <c r="AC71" s="401"/>
      <c r="AD71" s="1527">
        <f>ROUND($AD$61*30.126,2)</f>
        <v>30126</v>
      </c>
      <c r="AE71" s="1528"/>
      <c r="AF71" s="1528"/>
      <c r="AG71" s="1528"/>
      <c r="AH71" s="1529"/>
      <c r="AI71" s="537" t="s">
        <v>81</v>
      </c>
      <c r="AJ71" s="533"/>
      <c r="AK71" s="534"/>
      <c r="AL71" s="534"/>
      <c r="AM71" s="535"/>
      <c r="AN71" s="533"/>
      <c r="AO71" s="533"/>
      <c r="AP71" s="1527">
        <f>ROUND($AP$61*30.126,2)</f>
        <v>60252</v>
      </c>
      <c r="AQ71" s="1528"/>
      <c r="AR71" s="1528"/>
      <c r="AS71" s="1528"/>
      <c r="AT71" s="1529"/>
      <c r="AU71" s="537" t="s">
        <v>81</v>
      </c>
      <c r="AV71" s="538"/>
      <c r="AW71" s="533"/>
      <c r="AX71" s="533"/>
      <c r="AY71" s="535"/>
      <c r="AZ71" s="533"/>
      <c r="BA71" s="533"/>
      <c r="BB71" s="1527">
        <f>ROUND($BB$61*30.126,2)</f>
        <v>90378</v>
      </c>
      <c r="BC71" s="1528"/>
      <c r="BD71" s="1528"/>
      <c r="BE71" s="1528"/>
      <c r="BF71" s="1529"/>
      <c r="BG71" s="404" t="s">
        <v>81</v>
      </c>
      <c r="BH71" s="403"/>
      <c r="BI71" s="406"/>
      <c r="BK71" s="429"/>
      <c r="BL71" s="401"/>
    </row>
    <row r="72" spans="1:71" ht="7.5" customHeight="1">
      <c r="A72" s="391"/>
      <c r="B72" s="387"/>
      <c r="C72" s="269"/>
      <c r="D72" s="269"/>
      <c r="E72" s="269"/>
      <c r="F72" s="269"/>
      <c r="G72" s="269"/>
      <c r="H72" s="269"/>
      <c r="I72" s="269"/>
      <c r="J72" s="269"/>
      <c r="K72" s="269"/>
      <c r="L72" s="269"/>
      <c r="M72" s="269"/>
      <c r="N72" s="269"/>
      <c r="O72" s="269"/>
      <c r="P72" s="269"/>
      <c r="Q72" s="269"/>
      <c r="R72" s="269"/>
      <c r="S72" s="387"/>
      <c r="T72" s="387"/>
      <c r="U72" s="269"/>
      <c r="V72" s="269"/>
      <c r="W72" s="269"/>
      <c r="X72" s="269"/>
      <c r="Y72" s="269"/>
      <c r="Z72" s="269"/>
      <c r="AA72" s="269"/>
      <c r="AB72" s="269"/>
      <c r="AC72" s="269"/>
      <c r="AD72" s="269"/>
      <c r="AE72" s="269"/>
      <c r="AF72" s="269"/>
      <c r="AG72" s="269"/>
      <c r="AH72" s="269"/>
      <c r="AI72" s="269"/>
      <c r="AJ72" s="269"/>
      <c r="AK72" s="470"/>
      <c r="AL72" s="269"/>
      <c r="AM72" s="471"/>
      <c r="AN72" s="472"/>
      <c r="AO72" s="472"/>
      <c r="AP72" s="472"/>
      <c r="AQ72" s="472"/>
      <c r="AR72" s="473"/>
      <c r="AS72" s="474"/>
      <c r="AT72" s="475"/>
      <c r="AU72" s="475"/>
      <c r="AV72" s="476"/>
      <c r="AW72" s="477"/>
      <c r="AX72" s="477"/>
      <c r="AY72" s="478"/>
      <c r="AZ72" s="477"/>
      <c r="BA72" s="477"/>
      <c r="BB72" s="475"/>
      <c r="BC72" s="476"/>
      <c r="BD72" s="476"/>
      <c r="BE72" s="476"/>
      <c r="BF72" s="476"/>
      <c r="BG72" s="474"/>
      <c r="BH72" s="475"/>
      <c r="BI72" s="479"/>
      <c r="BK72" s="287"/>
      <c r="BO72" s="260"/>
    </row>
    <row r="73" spans="1:71" ht="11.25" customHeight="1">
      <c r="A73" s="374" t="s">
        <v>640</v>
      </c>
      <c r="B73" s="287"/>
      <c r="C73" s="287"/>
      <c r="D73" s="287"/>
      <c r="E73" s="287"/>
      <c r="F73" s="287"/>
      <c r="G73" s="287"/>
      <c r="H73" s="287"/>
      <c r="I73" s="287"/>
      <c r="J73" s="287"/>
      <c r="K73" s="287"/>
      <c r="L73" s="287"/>
      <c r="M73" s="287"/>
      <c r="N73" s="287"/>
      <c r="O73" s="287"/>
      <c r="P73" s="287"/>
      <c r="Q73" s="287"/>
      <c r="R73" s="287"/>
      <c r="S73" s="360"/>
      <c r="T73" s="360"/>
      <c r="U73" s="287"/>
      <c r="V73" s="287"/>
      <c r="W73" s="287"/>
      <c r="X73" s="287"/>
      <c r="Y73" s="287"/>
      <c r="Z73" s="287"/>
      <c r="AA73" s="287"/>
      <c r="AB73" s="287"/>
      <c r="AC73" s="287"/>
      <c r="AD73" s="287"/>
      <c r="AE73" s="287"/>
      <c r="AF73" s="287"/>
      <c r="AG73" s="287"/>
      <c r="AH73" s="287"/>
      <c r="AI73" s="287"/>
      <c r="AJ73" s="287"/>
      <c r="AK73" s="379"/>
      <c r="AL73" s="287"/>
      <c r="AM73" s="480"/>
      <c r="AN73" s="480"/>
      <c r="AO73" s="480"/>
      <c r="AP73" s="480"/>
      <c r="AQ73" s="480"/>
      <c r="AR73" s="384"/>
      <c r="AS73" s="481"/>
      <c r="AT73" s="419"/>
      <c r="AU73" s="419"/>
      <c r="AV73" s="482"/>
      <c r="AW73" s="483"/>
      <c r="AX73" s="483"/>
      <c r="AY73" s="483"/>
      <c r="AZ73" s="483"/>
      <c r="BA73" s="483"/>
      <c r="BB73" s="419"/>
      <c r="BC73" s="482"/>
      <c r="BD73" s="482"/>
      <c r="BE73" s="482"/>
      <c r="BF73" s="482"/>
      <c r="BG73" s="481"/>
      <c r="BH73" s="419"/>
      <c r="BI73" s="484"/>
      <c r="BK73" s="287"/>
      <c r="BO73" s="260"/>
    </row>
    <row r="74" spans="1:71" s="399" customFormat="1" ht="13.5" customHeight="1">
      <c r="A74" s="485" t="s">
        <v>641</v>
      </c>
      <c r="B74" s="486"/>
      <c r="C74" s="487"/>
      <c r="D74" s="486"/>
      <c r="E74" s="486"/>
      <c r="F74" s="486"/>
      <c r="G74" s="486"/>
      <c r="H74" s="486"/>
      <c r="I74" s="486"/>
      <c r="J74" s="486"/>
      <c r="K74" s="486"/>
      <c r="L74" s="486"/>
      <c r="M74" s="486"/>
      <c r="N74" s="486"/>
      <c r="O74" s="486"/>
      <c r="P74" s="486"/>
      <c r="Q74" s="486"/>
      <c r="R74" s="486"/>
      <c r="S74" s="486"/>
      <c r="T74" s="486"/>
      <c r="U74" s="486"/>
      <c r="V74" s="486"/>
      <c r="W74" s="486"/>
      <c r="X74" s="486"/>
      <c r="Y74" s="486"/>
      <c r="Z74" s="486"/>
      <c r="AA74" s="486"/>
      <c r="AB74" s="486"/>
      <c r="AC74" s="488"/>
      <c r="AD74" s="488"/>
      <c r="AE74" s="488"/>
      <c r="AF74" s="488"/>
      <c r="AG74" s="488"/>
      <c r="AH74" s="488"/>
      <c r="AI74" s="488"/>
      <c r="AJ74" s="488"/>
      <c r="AK74" s="488"/>
      <c r="AL74" s="488"/>
      <c r="AM74" s="488"/>
      <c r="AN74" s="488"/>
      <c r="AO74" s="486"/>
      <c r="AP74" s="486"/>
      <c r="AQ74" s="486"/>
      <c r="AR74" s="486"/>
      <c r="AS74" s="486"/>
      <c r="AT74" s="486"/>
      <c r="AU74" s="486"/>
      <c r="AV74" s="486"/>
      <c r="AW74" s="486"/>
      <c r="AX74" s="486"/>
      <c r="AY74" s="486"/>
      <c r="AZ74" s="486"/>
      <c r="BA74" s="486"/>
      <c r="BB74" s="486"/>
      <c r="BC74" s="486"/>
      <c r="BD74" s="486"/>
      <c r="BE74" s="486"/>
      <c r="BF74" s="486"/>
      <c r="BG74" s="486"/>
      <c r="BH74" s="486"/>
      <c r="BI74" s="489"/>
      <c r="BK74" s="429"/>
      <c r="BP74" s="490"/>
    </row>
    <row r="75" spans="1:71" s="399" customFormat="1" ht="3.75" customHeight="1">
      <c r="A75" s="491"/>
      <c r="B75" s="395"/>
      <c r="C75" s="395"/>
      <c r="D75" s="395"/>
      <c r="E75" s="395"/>
      <c r="F75" s="395"/>
      <c r="G75" s="395"/>
      <c r="H75" s="395"/>
      <c r="I75" s="395"/>
      <c r="J75" s="395"/>
      <c r="K75" s="395"/>
      <c r="L75" s="395"/>
      <c r="M75" s="395"/>
      <c r="N75" s="395"/>
      <c r="O75" s="395"/>
      <c r="P75" s="395"/>
      <c r="Q75" s="395"/>
      <c r="R75" s="395"/>
      <c r="S75" s="395"/>
      <c r="T75" s="395"/>
      <c r="U75" s="395"/>
      <c r="V75" s="395"/>
      <c r="W75" s="395"/>
      <c r="X75" s="395"/>
      <c r="Y75" s="395"/>
      <c r="Z75" s="395"/>
      <c r="AA75" s="395"/>
      <c r="AB75" s="395"/>
      <c r="AC75" s="492"/>
      <c r="AD75" s="395"/>
      <c r="AE75" s="395"/>
      <c r="AF75" s="395"/>
      <c r="AG75" s="395"/>
      <c r="AH75" s="395"/>
      <c r="AI75" s="395"/>
      <c r="AJ75" s="395"/>
      <c r="AK75" s="395"/>
      <c r="AL75" s="395"/>
      <c r="AM75" s="395"/>
      <c r="AN75" s="395"/>
      <c r="AO75" s="395"/>
      <c r="AP75" s="395"/>
      <c r="AQ75" s="395"/>
      <c r="AR75" s="395"/>
      <c r="AS75" s="395"/>
      <c r="AT75" s="395"/>
      <c r="AU75" s="395"/>
      <c r="AV75" s="395"/>
      <c r="AW75" s="395"/>
      <c r="AX75" s="395"/>
      <c r="AY75" s="395"/>
      <c r="AZ75" s="395"/>
      <c r="BA75" s="395"/>
      <c r="BB75" s="395"/>
      <c r="BC75" s="395"/>
      <c r="BD75" s="395"/>
      <c r="BE75" s="395"/>
      <c r="BF75" s="395"/>
      <c r="BG75" s="395"/>
      <c r="BH75" s="395"/>
      <c r="BI75" s="398"/>
      <c r="BJ75" s="401"/>
      <c r="BK75" s="401"/>
      <c r="BL75" s="400"/>
      <c r="BM75" s="401"/>
      <c r="BO75" s="401"/>
    </row>
    <row r="76" spans="1:71" s="399" customFormat="1" ht="12" customHeight="1">
      <c r="A76" s="493" t="s">
        <v>670</v>
      </c>
      <c r="B76" s="494"/>
      <c r="C76" s="401"/>
      <c r="D76" s="495"/>
      <c r="E76" s="495"/>
      <c r="F76" s="495"/>
      <c r="G76" s="495"/>
      <c r="H76" s="495"/>
      <c r="I76" s="495"/>
      <c r="J76" s="495"/>
      <c r="K76" s="495"/>
      <c r="L76" s="495"/>
      <c r="M76" s="495"/>
      <c r="N76" s="495"/>
      <c r="O76" s="495"/>
      <c r="P76" s="401"/>
      <c r="Q76" s="401"/>
      <c r="R76" s="401"/>
      <c r="S76" s="401"/>
      <c r="T76" s="401"/>
      <c r="U76" s="1542">
        <f ca="1">IF(test="O.K.",Poistné!D26,"?")</f>
        <v>21.18</v>
      </c>
      <c r="V76" s="1543"/>
      <c r="W76" s="1543"/>
      <c r="X76" s="1543"/>
      <c r="Y76" s="1555"/>
      <c r="Z76" s="332" t="s">
        <v>645</v>
      </c>
      <c r="AA76" s="331"/>
      <c r="AB76" s="495"/>
      <c r="AC76" s="496" t="s">
        <v>671</v>
      </c>
      <c r="AD76" s="401"/>
      <c r="AE76" s="401"/>
      <c r="AF76" s="448"/>
      <c r="AG76" s="448"/>
      <c r="AH76" s="448"/>
      <c r="AI76" s="448"/>
      <c r="AJ76" s="448"/>
      <c r="AK76" s="448"/>
      <c r="AL76" s="448"/>
      <c r="AM76" s="448"/>
      <c r="AN76" s="448"/>
      <c r="AO76" s="448"/>
      <c r="AP76" s="401"/>
      <c r="AQ76" s="401"/>
      <c r="AR76" s="401"/>
      <c r="AS76" s="401"/>
      <c r="AT76" s="401" t="s">
        <v>672</v>
      </c>
      <c r="AU76" s="401"/>
      <c r="AV76" s="401"/>
      <c r="AW76" s="401"/>
      <c r="AX76" s="401"/>
      <c r="AY76" s="401"/>
      <c r="AZ76" s="401"/>
      <c r="BA76" s="401"/>
      <c r="BB76" s="401"/>
      <c r="BC76" s="401"/>
      <c r="BD76" s="401"/>
      <c r="BE76" s="401"/>
      <c r="BF76" s="401"/>
      <c r="BG76" s="401"/>
      <c r="BH76" s="401"/>
      <c r="BI76" s="497"/>
      <c r="BK76" s="498"/>
      <c r="BL76" s="401"/>
    </row>
    <row r="77" spans="1:71" s="399" customFormat="1" ht="3.75" customHeight="1">
      <c r="A77" s="499"/>
      <c r="B77" s="495"/>
      <c r="C77" s="495"/>
      <c r="D77" s="495"/>
      <c r="E77" s="495"/>
      <c r="F77" s="495"/>
      <c r="G77" s="495"/>
      <c r="H77" s="495"/>
      <c r="I77" s="495"/>
      <c r="J77" s="495"/>
      <c r="K77" s="495"/>
      <c r="L77" s="495"/>
      <c r="M77" s="495"/>
      <c r="N77" s="495"/>
      <c r="O77" s="495"/>
      <c r="P77" s="401"/>
      <c r="Q77" s="401"/>
      <c r="R77" s="401"/>
      <c r="S77" s="401"/>
      <c r="T77" s="401"/>
      <c r="U77" s="500"/>
      <c r="V77" s="500"/>
      <c r="W77" s="500"/>
      <c r="X77" s="500"/>
      <c r="Y77" s="500"/>
      <c r="Z77" s="500"/>
      <c r="AA77" s="401"/>
      <c r="AB77" s="427"/>
      <c r="AC77" s="501"/>
      <c r="AD77" s="401"/>
      <c r="AE77" s="401"/>
      <c r="AF77" s="401"/>
      <c r="AG77" s="401"/>
      <c r="AH77" s="401"/>
      <c r="AI77" s="401"/>
      <c r="AJ77" s="401"/>
      <c r="AK77" s="401"/>
      <c r="AL77" s="401"/>
      <c r="AM77" s="401"/>
      <c r="AN77" s="401"/>
      <c r="AO77" s="401"/>
      <c r="AP77" s="401"/>
      <c r="AQ77" s="401"/>
      <c r="AR77" s="401"/>
      <c r="AS77" s="401"/>
      <c r="AT77" s="401"/>
      <c r="AU77" s="401"/>
      <c r="AV77" s="401"/>
      <c r="AW77" s="401"/>
      <c r="AX77" s="401"/>
      <c r="AY77" s="401"/>
      <c r="AZ77" s="401"/>
      <c r="BA77" s="401"/>
      <c r="BB77" s="401"/>
      <c r="BC77" s="401"/>
      <c r="BD77" s="401"/>
      <c r="BE77" s="401"/>
      <c r="BF77" s="401"/>
      <c r="BG77" s="401"/>
      <c r="BH77" s="401"/>
      <c r="BI77" s="497"/>
      <c r="BK77" s="400"/>
      <c r="BL77" s="401"/>
    </row>
    <row r="78" spans="1:71" s="399" customFormat="1" ht="13.5" customHeight="1">
      <c r="A78" s="426" t="s">
        <v>673</v>
      </c>
      <c r="B78" s="401"/>
      <c r="C78" s="401"/>
      <c r="D78" s="495"/>
      <c r="E78" s="495"/>
      <c r="F78" s="495"/>
      <c r="G78" s="495"/>
      <c r="H78" s="495"/>
      <c r="I78" s="495"/>
      <c r="J78" s="495"/>
      <c r="K78" s="495"/>
      <c r="L78" s="1552" t="str">
        <f ca="1">IF(test="O.K.",IF(pocetdeti&gt;0,pocetdeti,""),"?")</f>
        <v/>
      </c>
      <c r="M78" s="1553"/>
      <c r="N78" s="1554"/>
      <c r="O78" s="494" t="s">
        <v>642</v>
      </c>
      <c r="P78" s="495"/>
      <c r="Q78" s="401"/>
      <c r="R78" s="401"/>
      <c r="S78" s="401"/>
      <c r="T78" s="401"/>
      <c r="U78" s="1542">
        <f ca="1">IF(test="O.K.",Poistné!D37,"?")</f>
        <v>0</v>
      </c>
      <c r="V78" s="1543"/>
      <c r="W78" s="1543"/>
      <c r="X78" s="1543"/>
      <c r="Y78" s="1555"/>
      <c r="Z78" s="332" t="s">
        <v>645</v>
      </c>
      <c r="AA78" s="331"/>
      <c r="AB78" s="495"/>
      <c r="AC78" s="501"/>
      <c r="AD78" s="401" t="s">
        <v>674</v>
      </c>
      <c r="AE78" s="401"/>
      <c r="AF78" s="401"/>
      <c r="AG78" s="401"/>
      <c r="AH78" s="401"/>
      <c r="AI78" s="1536"/>
      <c r="AJ78" s="1537"/>
      <c r="AK78" s="1537"/>
      <c r="AL78" s="1537"/>
      <c r="AM78" s="1537"/>
      <c r="AN78" s="1537"/>
      <c r="AO78" s="1537"/>
      <c r="AP78" s="1537"/>
      <c r="AQ78" s="1538"/>
      <c r="AR78" s="401"/>
      <c r="AS78" s="401" t="s">
        <v>675</v>
      </c>
      <c r="AT78" s="401"/>
      <c r="AU78" s="401"/>
      <c r="AV78" s="401"/>
      <c r="AW78" s="401"/>
      <c r="AX78" s="401"/>
      <c r="AY78" s="1536"/>
      <c r="AZ78" s="1537"/>
      <c r="BA78" s="1537"/>
      <c r="BB78" s="1537"/>
      <c r="BC78" s="1537"/>
      <c r="BD78" s="1537"/>
      <c r="BE78" s="1537"/>
      <c r="BF78" s="1537"/>
      <c r="BG78" s="1538"/>
      <c r="BH78" s="401"/>
      <c r="BI78" s="497"/>
      <c r="BK78" s="400"/>
      <c r="BL78" s="427"/>
    </row>
    <row r="79" spans="1:71" s="399" customFormat="1" ht="3" customHeight="1">
      <c r="A79" s="426"/>
      <c r="B79" s="401"/>
      <c r="C79" s="502"/>
      <c r="D79" s="401"/>
      <c r="E79" s="401"/>
      <c r="F79" s="502"/>
      <c r="G79" s="502"/>
      <c r="H79" s="401"/>
      <c r="I79" s="401"/>
      <c r="J79" s="401"/>
      <c r="K79" s="502"/>
      <c r="L79" s="502"/>
      <c r="M79" s="401"/>
      <c r="N79" s="401"/>
      <c r="O79" s="401"/>
      <c r="P79" s="401"/>
      <c r="Q79" s="401"/>
      <c r="R79" s="401"/>
      <c r="S79" s="401"/>
      <c r="T79" s="431"/>
      <c r="U79" s="503"/>
      <c r="V79" s="503"/>
      <c r="W79" s="503"/>
      <c r="X79" s="503"/>
      <c r="Y79" s="504"/>
      <c r="Z79" s="503"/>
      <c r="AA79" s="505"/>
      <c r="AB79" s="495"/>
      <c r="AC79" s="501"/>
      <c r="AD79" s="401"/>
      <c r="AE79" s="401"/>
      <c r="AF79" s="401"/>
      <c r="AG79" s="401"/>
      <c r="AH79" s="401"/>
      <c r="AI79" s="401"/>
      <c r="AJ79" s="401"/>
      <c r="AK79" s="401"/>
      <c r="AL79" s="401"/>
      <c r="AM79" s="401"/>
      <c r="AN79" s="401"/>
      <c r="AO79" s="401"/>
      <c r="AP79" s="427"/>
      <c r="AQ79" s="427"/>
      <c r="AR79" s="427"/>
      <c r="AS79" s="427"/>
      <c r="AT79" s="506"/>
      <c r="AU79" s="403"/>
      <c r="AV79" s="403"/>
      <c r="AW79" s="455"/>
      <c r="AX79" s="439"/>
      <c r="AY79" s="401"/>
      <c r="AZ79" s="439"/>
      <c r="BA79" s="439"/>
      <c r="BB79" s="439"/>
      <c r="BC79" s="439"/>
      <c r="BD79" s="439"/>
      <c r="BE79" s="439"/>
      <c r="BF79" s="439"/>
      <c r="BG79" s="401"/>
      <c r="BH79" s="401"/>
      <c r="BI79" s="497"/>
      <c r="BK79" s="400"/>
      <c r="BL79" s="427"/>
    </row>
    <row r="80" spans="1:71" s="399" customFormat="1" ht="3.75" customHeight="1" thickBot="1">
      <c r="A80" s="426"/>
      <c r="B80" s="401"/>
      <c r="C80" s="502"/>
      <c r="D80" s="401"/>
      <c r="E80" s="401"/>
      <c r="F80" s="502"/>
      <c r="G80" s="502"/>
      <c r="H80" s="401"/>
      <c r="I80" s="401"/>
      <c r="J80" s="401"/>
      <c r="K80" s="502"/>
      <c r="L80" s="502"/>
      <c r="M80" s="401"/>
      <c r="N80" s="401"/>
      <c r="O80" s="401"/>
      <c r="P80" s="401"/>
      <c r="Q80" s="401"/>
      <c r="R80" s="401"/>
      <c r="S80" s="401"/>
      <c r="T80" s="401"/>
      <c r="U80" s="500"/>
      <c r="V80" s="500"/>
      <c r="W80" s="500"/>
      <c r="X80" s="500"/>
      <c r="Y80" s="507"/>
      <c r="Z80" s="500"/>
      <c r="AA80" s="427"/>
      <c r="AB80" s="495"/>
      <c r="AC80" s="501"/>
      <c r="AD80" s="401"/>
      <c r="AE80" s="401"/>
      <c r="AF80" s="401"/>
      <c r="AG80" s="401"/>
      <c r="AH80" s="401"/>
      <c r="AI80" s="401"/>
      <c r="AJ80" s="401"/>
      <c r="AK80" s="401"/>
      <c r="AL80" s="401"/>
      <c r="AM80" s="401"/>
      <c r="AN80" s="401"/>
      <c r="AO80" s="401"/>
      <c r="AP80" s="427"/>
      <c r="AQ80" s="427"/>
      <c r="AR80" s="427"/>
      <c r="AS80" s="427"/>
      <c r="AT80" s="506"/>
      <c r="AU80" s="403"/>
      <c r="AV80" s="403"/>
      <c r="AW80" s="455"/>
      <c r="AX80" s="439"/>
      <c r="AY80" s="401"/>
      <c r="AZ80" s="439"/>
      <c r="BA80" s="439"/>
      <c r="BB80" s="439"/>
      <c r="BC80" s="439"/>
      <c r="BD80" s="439"/>
      <c r="BE80" s="439"/>
      <c r="BF80" s="439"/>
      <c r="BG80" s="401"/>
      <c r="BH80" s="401"/>
      <c r="BI80" s="497"/>
      <c r="BK80" s="400"/>
      <c r="BL80" s="427"/>
    </row>
    <row r="81" spans="1:67" s="399" customFormat="1" ht="14.25" customHeight="1" thickBot="1">
      <c r="A81" s="426"/>
      <c r="B81" s="508" t="s">
        <v>82</v>
      </c>
      <c r="C81" s="401"/>
      <c r="D81" s="401"/>
      <c r="E81" s="401"/>
      <c r="F81" s="401"/>
      <c r="G81" s="401"/>
      <c r="H81" s="401"/>
      <c r="I81" s="401"/>
      <c r="J81" s="401"/>
      <c r="K81" s="401"/>
      <c r="L81" s="401"/>
      <c r="M81" s="401"/>
      <c r="N81" s="401"/>
      <c r="O81" s="401"/>
      <c r="P81" s="401"/>
      <c r="Q81" s="401"/>
      <c r="R81" s="401"/>
      <c r="S81" s="401"/>
      <c r="T81" s="401"/>
      <c r="U81" s="1533">
        <f ca="1">IF(test="O.K.",Poistné!$D$39,"?")</f>
        <v>21.18</v>
      </c>
      <c r="V81" s="1534"/>
      <c r="W81" s="1534"/>
      <c r="X81" s="1534"/>
      <c r="Y81" s="1535"/>
      <c r="Z81" s="509" t="s">
        <v>645</v>
      </c>
      <c r="AA81" s="510"/>
      <c r="AB81" s="401"/>
      <c r="AC81" s="501"/>
      <c r="AD81" s="401" t="s">
        <v>676</v>
      </c>
      <c r="AE81" s="401"/>
      <c r="AF81" s="401"/>
      <c r="AG81" s="401"/>
      <c r="AH81" s="401"/>
      <c r="AI81" s="401"/>
      <c r="AJ81" s="401"/>
      <c r="AK81" s="401"/>
      <c r="AL81" s="401"/>
      <c r="AM81" s="401"/>
      <c r="AN81" s="401"/>
      <c r="AO81" s="1542">
        <f ca="1">IF(test="O.K.",IF(Poistné!C42="a",Poistné!$D$45,""),"?")</f>
        <v>2.12</v>
      </c>
      <c r="AP81" s="1543"/>
      <c r="AQ81" s="1543"/>
      <c r="AR81" s="1543"/>
      <c r="AS81" s="1543"/>
      <c r="AT81" s="511"/>
      <c r="AU81" s="455" t="s">
        <v>677</v>
      </c>
      <c r="AV81" s="455"/>
      <c r="AW81" s="455"/>
      <c r="AX81" s="439"/>
      <c r="AY81" s="401"/>
      <c r="AZ81" s="439"/>
      <c r="BA81" s="439"/>
      <c r="BB81" s="439"/>
      <c r="BC81" s="439"/>
      <c r="BD81" s="439"/>
      <c r="BE81" s="439"/>
      <c r="BF81" s="439"/>
      <c r="BG81" s="401"/>
      <c r="BH81" s="401"/>
      <c r="BI81" s="497"/>
      <c r="BK81" s="400"/>
      <c r="BL81" s="427"/>
    </row>
    <row r="82" spans="1:67" s="399" customFormat="1" ht="3" customHeight="1" thickBot="1">
      <c r="A82" s="426"/>
      <c r="B82" s="401"/>
      <c r="C82" s="401"/>
      <c r="D82" s="401"/>
      <c r="E82" s="401"/>
      <c r="F82" s="401"/>
      <c r="G82" s="401"/>
      <c r="H82" s="401"/>
      <c r="I82" s="401"/>
      <c r="J82" s="401"/>
      <c r="K82" s="401"/>
      <c r="L82" s="401"/>
      <c r="M82" s="401"/>
      <c r="N82" s="401"/>
      <c r="O82" s="401"/>
      <c r="P82" s="401"/>
      <c r="Q82" s="401"/>
      <c r="R82" s="401"/>
      <c r="S82" s="401"/>
      <c r="T82" s="401"/>
      <c r="U82" s="401"/>
      <c r="V82" s="401"/>
      <c r="W82" s="401"/>
      <c r="X82" s="401"/>
      <c r="Y82" s="506"/>
      <c r="Z82" s="401"/>
      <c r="AA82" s="427"/>
      <c r="AB82" s="495"/>
      <c r="AC82" s="501"/>
      <c r="AD82" s="401"/>
      <c r="AE82" s="401"/>
      <c r="AF82" s="401"/>
      <c r="AG82" s="401"/>
      <c r="AH82" s="401"/>
      <c r="AI82" s="401"/>
      <c r="AJ82" s="401"/>
      <c r="AK82" s="401"/>
      <c r="AL82" s="401"/>
      <c r="AM82" s="401"/>
      <c r="AN82" s="401"/>
      <c r="AO82" s="401"/>
      <c r="AP82" s="427"/>
      <c r="AQ82" s="427"/>
      <c r="AR82" s="427"/>
      <c r="AS82" s="427"/>
      <c r="AT82" s="506"/>
      <c r="AU82" s="403"/>
      <c r="AV82" s="403"/>
      <c r="AW82" s="455"/>
      <c r="AX82" s="439"/>
      <c r="AY82" s="401"/>
      <c r="AZ82" s="439"/>
      <c r="BA82" s="439"/>
      <c r="BB82" s="439"/>
      <c r="BC82" s="439"/>
      <c r="BD82" s="439"/>
      <c r="BE82" s="439"/>
      <c r="BF82" s="439"/>
      <c r="BG82" s="401"/>
      <c r="BH82" s="401"/>
      <c r="BI82" s="497"/>
      <c r="BK82" s="400"/>
      <c r="BL82" s="427"/>
    </row>
    <row r="83" spans="1:67" s="399" customFormat="1" ht="13.5" customHeight="1" thickBot="1">
      <c r="A83" s="426"/>
      <c r="B83" s="401"/>
      <c r="C83" s="401"/>
      <c r="D83" s="495"/>
      <c r="E83" s="495"/>
      <c r="F83" s="495"/>
      <c r="G83" s="495"/>
      <c r="H83" s="495"/>
      <c r="I83" s="495"/>
      <c r="J83" s="495"/>
      <c r="K83" s="495"/>
      <c r="L83" s="495"/>
      <c r="M83" s="495"/>
      <c r="N83" s="435"/>
      <c r="O83" s="435"/>
      <c r="P83" s="401"/>
      <c r="Q83" s="495"/>
      <c r="R83" s="401"/>
      <c r="S83" s="401"/>
      <c r="T83" s="401"/>
      <c r="U83" s="1539">
        <f ca="1">IF(test="O.K.",Poistné!$E$39,"?")</f>
        <v>0</v>
      </c>
      <c r="V83" s="1540"/>
      <c r="W83" s="1540"/>
      <c r="X83" s="1540"/>
      <c r="Y83" s="1541"/>
      <c r="Z83" s="512" t="s">
        <v>646</v>
      </c>
      <c r="AA83" s="401"/>
      <c r="AB83" s="401"/>
      <c r="AC83" s="501"/>
      <c r="AD83" s="401" t="s">
        <v>679</v>
      </c>
      <c r="AE83" s="401"/>
      <c r="AF83" s="401"/>
      <c r="AG83" s="401"/>
      <c r="AH83" s="401"/>
      <c r="AI83" s="401"/>
      <c r="AJ83" s="401"/>
      <c r="AK83" s="401"/>
      <c r="AL83" s="401"/>
      <c r="AM83" s="401"/>
      <c r="AN83" s="401"/>
      <c r="AO83" s="1533">
        <f ca="1">IF(test="O.K.",IF(Poistné!C42="a",Poistné!$D$46,""),"?")</f>
        <v>19.059999999999999</v>
      </c>
      <c r="AP83" s="1534"/>
      <c r="AQ83" s="1534"/>
      <c r="AR83" s="1534"/>
      <c r="AS83" s="1534"/>
      <c r="AT83" s="513"/>
      <c r="AU83" s="455" t="s">
        <v>80</v>
      </c>
      <c r="AV83" s="455"/>
      <c r="AW83" s="455"/>
      <c r="AX83" s="439"/>
      <c r="AY83" s="1539">
        <f ca="1">IF(test="O.K.",IF(Poistné!C42="a",Poistné!$E$46,""),"?")</f>
        <v>574.20155999999997</v>
      </c>
      <c r="AZ83" s="1540"/>
      <c r="BA83" s="1540"/>
      <c r="BB83" s="1540"/>
      <c r="BC83" s="1540"/>
      <c r="BD83" s="1540"/>
      <c r="BE83" s="1541"/>
      <c r="BF83" s="401" t="s">
        <v>81</v>
      </c>
      <c r="BG83" s="401"/>
      <c r="BH83" s="401"/>
      <c r="BI83" s="497"/>
      <c r="BK83" s="400"/>
      <c r="BL83" s="427"/>
    </row>
    <row r="84" spans="1:67" s="399" customFormat="1" ht="11.25" customHeight="1" thickBot="1">
      <c r="A84" s="514"/>
      <c r="B84" s="515"/>
      <c r="C84" s="516"/>
      <c r="D84" s="516"/>
      <c r="E84" s="516"/>
      <c r="F84" s="516"/>
      <c r="G84" s="516"/>
      <c r="H84" s="516"/>
      <c r="I84" s="516"/>
      <c r="J84" s="516"/>
      <c r="K84" s="516"/>
      <c r="L84" s="516"/>
      <c r="M84" s="516"/>
      <c r="N84" s="516"/>
      <c r="O84" s="516"/>
      <c r="P84" s="516"/>
      <c r="Q84" s="515"/>
      <c r="R84" s="515"/>
      <c r="S84" s="515"/>
      <c r="T84" s="515"/>
      <c r="U84" s="515"/>
      <c r="V84" s="515"/>
      <c r="W84" s="515"/>
      <c r="X84" s="515"/>
      <c r="Y84" s="515"/>
      <c r="Z84" s="515"/>
      <c r="AA84" s="515"/>
      <c r="AB84" s="515"/>
      <c r="AC84" s="517" t="s">
        <v>678</v>
      </c>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8"/>
      <c r="BK84" s="400"/>
      <c r="BL84" s="401"/>
    </row>
    <row r="85" spans="1:67" ht="1.5" customHeight="1">
      <c r="B85" s="287"/>
      <c r="C85" s="360"/>
      <c r="D85" s="287"/>
      <c r="E85" s="287"/>
      <c r="F85" s="287"/>
      <c r="G85" s="287"/>
      <c r="H85" s="287"/>
      <c r="I85" s="287"/>
      <c r="J85" s="287"/>
      <c r="K85" s="287"/>
      <c r="L85" s="287"/>
      <c r="M85" s="287"/>
      <c r="N85" s="287"/>
      <c r="O85" s="287"/>
      <c r="P85" s="287"/>
      <c r="Q85" s="287"/>
      <c r="R85" s="287"/>
      <c r="S85" s="287"/>
      <c r="T85" s="287"/>
      <c r="U85" s="287"/>
      <c r="V85" s="287"/>
      <c r="W85" s="287"/>
      <c r="X85" s="287"/>
      <c r="Y85" s="287"/>
      <c r="Z85" s="287"/>
      <c r="AA85" s="287"/>
      <c r="AB85" s="287"/>
      <c r="AC85" s="287"/>
      <c r="AD85" s="287"/>
      <c r="AE85" s="287"/>
      <c r="AF85" s="287"/>
      <c r="AG85" s="287"/>
      <c r="AH85" s="287"/>
      <c r="AI85" s="287"/>
      <c r="AJ85" s="287"/>
      <c r="AK85" s="287"/>
      <c r="AL85" s="287"/>
      <c r="AM85" s="287"/>
      <c r="AN85" s="287"/>
      <c r="AO85" s="287"/>
      <c r="AP85" s="287"/>
      <c r="AQ85" s="287"/>
      <c r="AR85" s="287"/>
      <c r="AS85" s="287"/>
      <c r="AT85" s="287"/>
      <c r="AU85" s="287"/>
      <c r="AV85" s="287"/>
      <c r="AW85" s="287"/>
      <c r="AX85" s="287"/>
      <c r="AY85" s="287"/>
      <c r="AZ85" s="287"/>
      <c r="BA85" s="287"/>
      <c r="BB85" s="287"/>
      <c r="BC85" s="287"/>
      <c r="BD85" s="287"/>
      <c r="BE85" s="287"/>
      <c r="BF85" s="287"/>
      <c r="BG85" s="287"/>
      <c r="BH85" s="287"/>
      <c r="BI85" s="287"/>
      <c r="BJ85" s="287"/>
      <c r="BK85" s="287"/>
      <c r="BL85" s="287"/>
      <c r="BM85" s="287"/>
      <c r="BN85" s="287"/>
      <c r="BO85" s="260"/>
    </row>
    <row r="86" spans="1:67" ht="9.75" customHeight="1">
      <c r="A86" s="519" t="s">
        <v>643</v>
      </c>
      <c r="C86" s="360"/>
      <c r="D86" s="287"/>
      <c r="E86" s="287"/>
      <c r="F86" s="287"/>
      <c r="G86" s="287"/>
      <c r="H86" s="287"/>
      <c r="I86" s="287"/>
      <c r="J86" s="287"/>
      <c r="K86" s="287"/>
      <c r="L86" s="287"/>
      <c r="M86" s="287"/>
      <c r="N86" s="287"/>
      <c r="O86" s="287"/>
      <c r="P86" s="287"/>
      <c r="Q86" s="287"/>
      <c r="R86" s="287"/>
      <c r="S86" s="287"/>
      <c r="T86" s="287"/>
      <c r="U86" s="287"/>
      <c r="V86" s="287"/>
      <c r="W86" s="287"/>
      <c r="X86" s="287"/>
      <c r="Y86" s="287"/>
      <c r="Z86" s="287"/>
      <c r="AA86" s="287"/>
      <c r="AB86" s="287"/>
      <c r="AC86" s="287"/>
      <c r="AD86" s="287"/>
      <c r="AE86" s="287"/>
      <c r="AF86" s="287"/>
      <c r="AG86" s="287"/>
      <c r="AH86" s="287"/>
      <c r="AI86" s="287"/>
      <c r="AJ86" s="287"/>
      <c r="AK86" s="287"/>
      <c r="AL86" s="287"/>
      <c r="AM86" s="287"/>
      <c r="AN86" s="287"/>
      <c r="AO86" s="287"/>
      <c r="AP86" s="287"/>
      <c r="AQ86" s="287"/>
      <c r="AR86" s="287"/>
      <c r="AS86" s="287"/>
      <c r="AT86" s="287"/>
      <c r="AU86" s="287"/>
      <c r="AV86" s="287"/>
      <c r="AW86" s="287"/>
      <c r="AX86" s="287"/>
      <c r="AY86" s="287"/>
      <c r="AZ86" s="287"/>
      <c r="BA86" s="287"/>
      <c r="BB86" s="287"/>
      <c r="BC86" s="287"/>
      <c r="BD86" s="287"/>
      <c r="BE86" s="287"/>
      <c r="BF86" s="287"/>
      <c r="BG86" s="287"/>
      <c r="BH86" s="287"/>
      <c r="BI86" s="287"/>
      <c r="BJ86" s="287"/>
      <c r="BK86" s="287"/>
      <c r="BL86" s="287"/>
      <c r="BM86" s="287"/>
      <c r="BN86" s="287"/>
      <c r="BO86" s="260"/>
    </row>
    <row r="87" spans="1:67" ht="9" customHeight="1">
      <c r="A87" s="520" t="s">
        <v>83</v>
      </c>
      <c r="C87" s="360"/>
      <c r="D87" s="287"/>
      <c r="E87" s="287"/>
      <c r="F87" s="287"/>
      <c r="G87" s="287"/>
      <c r="H87" s="287"/>
      <c r="I87" s="287"/>
      <c r="J87" s="287"/>
      <c r="K87" s="287"/>
      <c r="L87" s="287"/>
      <c r="M87" s="287"/>
      <c r="N87" s="287"/>
      <c r="O87" s="287"/>
      <c r="P87" s="287"/>
      <c r="Q87" s="287"/>
      <c r="R87" s="287"/>
      <c r="S87" s="287"/>
      <c r="T87" s="287"/>
      <c r="U87" s="287"/>
      <c r="V87" s="287"/>
      <c r="W87" s="287"/>
      <c r="X87" s="287"/>
      <c r="Y87" s="287"/>
      <c r="Z87" s="287"/>
      <c r="AA87" s="287"/>
      <c r="AB87" s="287"/>
      <c r="AC87" s="287"/>
      <c r="AD87" s="287"/>
      <c r="AE87" s="287"/>
      <c r="AF87" s="287"/>
      <c r="AG87" s="287"/>
      <c r="AH87" s="287"/>
      <c r="AI87" s="287"/>
      <c r="AJ87" s="287"/>
      <c r="AK87" s="287"/>
      <c r="AL87" s="287"/>
      <c r="AM87" s="287"/>
      <c r="AN87" s="287"/>
      <c r="AO87" s="287"/>
      <c r="AP87" s="287"/>
      <c r="AQ87" s="287"/>
      <c r="AR87" s="287"/>
      <c r="AS87" s="287"/>
      <c r="AT87" s="287"/>
      <c r="AU87" s="287"/>
      <c r="AV87" s="287"/>
      <c r="AW87" s="287"/>
      <c r="AX87" s="287"/>
      <c r="AY87" s="287"/>
      <c r="AZ87" s="287"/>
      <c r="BA87" s="287"/>
      <c r="BB87" s="287"/>
      <c r="BC87" s="287"/>
      <c r="BD87" s="287"/>
      <c r="BE87" s="287"/>
      <c r="BF87" s="287"/>
      <c r="BG87" s="287"/>
      <c r="BH87" s="287"/>
      <c r="BI87" s="287"/>
      <c r="BK87" s="287"/>
      <c r="BO87" s="260"/>
    </row>
    <row r="88" spans="1:67" ht="10.5" customHeight="1">
      <c r="A88" s="260"/>
      <c r="B88" s="521"/>
      <c r="C88" s="360"/>
      <c r="D88" s="287"/>
      <c r="E88" s="287"/>
      <c r="F88" s="287"/>
      <c r="G88" s="287"/>
      <c r="H88" s="287"/>
      <c r="I88" s="287"/>
      <c r="J88" s="287"/>
      <c r="K88" s="287"/>
      <c r="L88" s="287"/>
      <c r="M88" s="287"/>
      <c r="N88" s="287"/>
      <c r="O88" s="287"/>
      <c r="P88" s="287"/>
      <c r="Q88" s="287"/>
      <c r="R88" s="287"/>
      <c r="S88" s="287"/>
      <c r="T88" s="287"/>
      <c r="U88" s="287"/>
      <c r="V88" s="287"/>
      <c r="W88" s="287"/>
      <c r="X88" s="287"/>
      <c r="Y88" s="287"/>
      <c r="Z88" s="287"/>
      <c r="AA88" s="287"/>
      <c r="AB88" s="287"/>
      <c r="AC88" s="287"/>
      <c r="AD88" s="287"/>
      <c r="AE88" s="287"/>
      <c r="AF88" s="287"/>
      <c r="AG88" s="287"/>
      <c r="AH88" s="287"/>
      <c r="AI88" s="287"/>
      <c r="AJ88" s="287"/>
      <c r="AK88" s="287"/>
      <c r="AL88" s="287"/>
      <c r="AM88" s="287"/>
      <c r="AN88" s="287"/>
      <c r="AO88" s="287"/>
      <c r="AP88" s="287"/>
      <c r="AQ88" s="287"/>
      <c r="AR88" s="287"/>
      <c r="AS88" s="287"/>
      <c r="AT88" s="287"/>
      <c r="AU88" s="287"/>
      <c r="AV88" s="287"/>
      <c r="AW88" s="287"/>
      <c r="AX88" s="287"/>
      <c r="AY88" s="287"/>
      <c r="AZ88" s="287"/>
      <c r="BA88" s="287"/>
      <c r="BB88" s="287"/>
      <c r="BC88" s="287"/>
      <c r="BD88" s="287"/>
      <c r="BE88" s="287"/>
      <c r="BF88" s="287"/>
      <c r="BG88" s="287"/>
      <c r="BH88" s="287"/>
      <c r="BI88" s="287"/>
      <c r="BK88" s="287"/>
      <c r="BO88" s="260"/>
    </row>
  </sheetData>
  <mergeCells count="63">
    <mergeCell ref="AH45:AL45"/>
    <mergeCell ref="BB47:BE47"/>
    <mergeCell ref="BB49:BE49"/>
    <mergeCell ref="AH47:AL47"/>
    <mergeCell ref="AQ45:AW45"/>
    <mergeCell ref="BB45:BE45"/>
    <mergeCell ref="AQ47:AW47"/>
    <mergeCell ref="BB39:BE39"/>
    <mergeCell ref="AT6:AY6"/>
    <mergeCell ref="AH41:AL41"/>
    <mergeCell ref="AH43:AL43"/>
    <mergeCell ref="AH37:AL37"/>
    <mergeCell ref="AH39:AL39"/>
    <mergeCell ref="AQ35:AW35"/>
    <mergeCell ref="AQ37:AW37"/>
    <mergeCell ref="AQ39:AW39"/>
    <mergeCell ref="BB37:BE37"/>
    <mergeCell ref="BB41:BE41"/>
    <mergeCell ref="D18:E18"/>
    <mergeCell ref="AH35:AL35"/>
    <mergeCell ref="AD21:BF21"/>
    <mergeCell ref="BB35:BE35"/>
    <mergeCell ref="F18:G18"/>
    <mergeCell ref="H18:K18"/>
    <mergeCell ref="AN18:AO18"/>
    <mergeCell ref="AP18:AQ18"/>
    <mergeCell ref="AR18:AU18"/>
    <mergeCell ref="AC17:AE18"/>
    <mergeCell ref="BB52:BF52"/>
    <mergeCell ref="AQ43:AW43"/>
    <mergeCell ref="BB43:BE43"/>
    <mergeCell ref="AQ41:AW41"/>
    <mergeCell ref="L78:N78"/>
    <mergeCell ref="U76:Y76"/>
    <mergeCell ref="U78:Y78"/>
    <mergeCell ref="BB69:BF69"/>
    <mergeCell ref="BB71:BF71"/>
    <mergeCell ref="AD69:AH69"/>
    <mergeCell ref="AP64:AT64"/>
    <mergeCell ref="AD71:AH71"/>
    <mergeCell ref="AP69:AT69"/>
    <mergeCell ref="AP71:AT71"/>
    <mergeCell ref="BB64:BF64"/>
    <mergeCell ref="BB57:BF57"/>
    <mergeCell ref="U81:Y81"/>
    <mergeCell ref="AI78:AQ78"/>
    <mergeCell ref="AY83:BE83"/>
    <mergeCell ref="U83:Y83"/>
    <mergeCell ref="AO83:AS83"/>
    <mergeCell ref="AO81:AS81"/>
    <mergeCell ref="AY78:BG78"/>
    <mergeCell ref="BB59:BF59"/>
    <mergeCell ref="BB61:BF61"/>
    <mergeCell ref="AD67:AH67"/>
    <mergeCell ref="AP67:AT67"/>
    <mergeCell ref="BB67:BF67"/>
    <mergeCell ref="AD64:AH64"/>
    <mergeCell ref="AD57:AH57"/>
    <mergeCell ref="AD59:AH59"/>
    <mergeCell ref="AD61:AH61"/>
    <mergeCell ref="AP57:AT57"/>
    <mergeCell ref="AP59:AT59"/>
    <mergeCell ref="AP61:AT61"/>
  </mergeCells>
  <phoneticPr fontId="0" type="noConversion"/>
  <conditionalFormatting sqref="D18:E18 AN18:AO18">
    <cfRule type="cellIs" dxfId="18" priority="1" stopIfTrue="1" operator="greaterThan">
      <formula>""</formula>
    </cfRule>
  </conditionalFormatting>
  <conditionalFormatting sqref="BB52:BF52">
    <cfRule type="cellIs" dxfId="17" priority="2" stopIfTrue="1" operator="greaterThan">
      <formula>"="</formula>
    </cfRule>
  </conditionalFormatting>
  <conditionalFormatting sqref="B35 O35 Y35 Y49 AE49 B37 B39 B41 B43 A45:B45 B47 AD55 AP55 BB55 AG26 AY26 AY28 AA26 U26 O26">
    <cfRule type="cellIs" dxfId="16" priority="3" stopIfTrue="1" operator="equal">
      <formula>"X"</formula>
    </cfRule>
  </conditionalFormatting>
  <conditionalFormatting sqref="AH39:AM39 BB39:BF39">
    <cfRule type="cellIs" dxfId="15" priority="4" stopIfTrue="1" operator="equal">
      <formula>$B$39</formula>
    </cfRule>
  </conditionalFormatting>
  <conditionalFormatting sqref="AH37:AM37 BB37:BF37">
    <cfRule type="cellIs" dxfId="14" priority="5" stopIfTrue="1" operator="equal">
      <formula>$B$37</formula>
    </cfRule>
  </conditionalFormatting>
  <conditionalFormatting sqref="AH41:AM41 BB41:BF41">
    <cfRule type="cellIs" dxfId="13" priority="6" stopIfTrue="1" operator="equal">
      <formula>$B$41</formula>
    </cfRule>
  </conditionalFormatting>
  <conditionalFormatting sqref="AH43:AM43 BB43:BF43">
    <cfRule type="cellIs" dxfId="12" priority="7" stopIfTrue="1" operator="equal">
      <formula>$B$43</formula>
    </cfRule>
  </conditionalFormatting>
  <conditionalFormatting sqref="AH45:AM45 BB45:BF45">
    <cfRule type="cellIs" dxfId="11" priority="8" stopIfTrue="1" operator="equal">
      <formula>$B$45</formula>
    </cfRule>
  </conditionalFormatting>
  <conditionalFormatting sqref="AH47:AM47 BB47:BF47">
    <cfRule type="cellIs" dxfId="10" priority="9" stopIfTrue="1" operator="equal">
      <formula>$B$47</formula>
    </cfRule>
  </conditionalFormatting>
  <conditionalFormatting sqref="AD64:AH64">
    <cfRule type="cellIs" dxfId="9" priority="10" stopIfTrue="1" operator="equal">
      <formula>$AD$55</formula>
    </cfRule>
  </conditionalFormatting>
  <conditionalFormatting sqref="AP64:AT64">
    <cfRule type="cellIs" dxfId="8" priority="11" stopIfTrue="1" operator="equal">
      <formula>$AP$55</formula>
    </cfRule>
  </conditionalFormatting>
  <conditionalFormatting sqref="BB64:BF64">
    <cfRule type="cellIs" dxfId="7" priority="12" stopIfTrue="1" operator="equal">
      <formula>$BB$55</formula>
    </cfRule>
  </conditionalFormatting>
  <conditionalFormatting sqref="BF49">
    <cfRule type="cellIs" dxfId="6" priority="13" stopIfTrue="1" operator="equal">
      <formula>$BB$49</formula>
    </cfRule>
  </conditionalFormatting>
  <conditionalFormatting sqref="BB35:BF35 AH35:AM35">
    <cfRule type="cellIs" dxfId="5" priority="14" stopIfTrue="1" operator="equal">
      <formula>$AQ$35</formula>
    </cfRule>
  </conditionalFormatting>
  <conditionalFormatting sqref="L78:N78">
    <cfRule type="cellIs" dxfId="4" priority="15" stopIfTrue="1" operator="greaterThanOrEqual">
      <formula>1</formula>
    </cfRule>
  </conditionalFormatting>
  <conditionalFormatting sqref="BB49:BE49">
    <cfRule type="cellIs" dxfId="3" priority="16" stopIfTrue="1" operator="equal">
      <formula>$Y$49</formula>
    </cfRule>
  </conditionalFormatting>
  <conditionalFormatting sqref="AO81:AS81 AO83:AS83">
    <cfRule type="cellIs" dxfId="2" priority="17" stopIfTrue="1" operator="equal">
      <formula>$AI$78</formula>
    </cfRule>
  </conditionalFormatting>
  <conditionalFormatting sqref="AT81">
    <cfRule type="cellIs" dxfId="1" priority="18" stopIfTrue="1" operator="equal">
      <formula>$AO$81</formula>
    </cfRule>
  </conditionalFormatting>
  <conditionalFormatting sqref="AT83 AY83:BE83">
    <cfRule type="cellIs" dxfId="0" priority="19" stopIfTrue="1" operator="equal">
      <formula>$AO$83</formula>
    </cfRule>
  </conditionalFormatting>
  <printOptions horizontalCentered="1"/>
  <pageMargins left="0.19685039370078741" right="0.19685039370078741" top="0.51" bottom="0.55118110236220474" header="0.31496062992125984" footer="0.31496062992125984"/>
  <pageSetup paperSize="9" scale="86"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CC698-8860-4E21-8E74-1FF8ABCDE619}">
  <sheetPr>
    <tabColor rgb="FFC00000"/>
    <pageSetUpPr fitToPage="1"/>
  </sheetPr>
  <dimension ref="B6:Q24"/>
  <sheetViews>
    <sheetView zoomScaleNormal="100" workbookViewId="0">
      <selection activeCell="Q18" sqref="Q18"/>
    </sheetView>
  </sheetViews>
  <sheetFormatPr defaultRowHeight="13.2"/>
  <cols>
    <col min="1" max="1" width="8.88671875" style="684"/>
    <col min="2" max="2" width="4.88671875" style="684" customWidth="1"/>
    <col min="3" max="3" width="9.77734375" style="684" customWidth="1"/>
    <col min="4" max="4" width="10" style="684" customWidth="1"/>
    <col min="5" max="8" width="8.88671875" style="684"/>
    <col min="9" max="9" width="16.21875" style="684" customWidth="1"/>
    <col min="10" max="12" width="8.88671875" style="684"/>
    <col min="13" max="13" width="4.5546875" style="684" customWidth="1"/>
    <col min="14" max="14" width="3.33203125" style="684" customWidth="1"/>
    <col min="15" max="16384" width="8.88671875" style="684"/>
  </cols>
  <sheetData>
    <row r="6" spans="2:14" ht="13.8">
      <c r="B6" s="1295"/>
      <c r="J6" s="1296" t="s">
        <v>892</v>
      </c>
      <c r="K6" s="1574" t="str">
        <f ca="1">IF(Osobne_udaje!E2="O.K.",Osobne_udaje!C6,"")</f>
        <v/>
      </c>
      <c r="L6" s="1574"/>
    </row>
    <row r="8" spans="2:14" ht="13.8">
      <c r="B8" s="1295"/>
    </row>
    <row r="9" spans="2:14" s="1297" customFormat="1" ht="45.6" customHeight="1">
      <c r="B9" s="1575" t="s">
        <v>950</v>
      </c>
      <c r="C9" s="1575"/>
      <c r="D9" s="1575"/>
      <c r="E9" s="1575"/>
      <c r="F9" s="1575"/>
      <c r="G9" s="1575"/>
      <c r="H9" s="1575"/>
      <c r="I9" s="1575"/>
      <c r="J9" s="1575"/>
      <c r="K9" s="1575"/>
      <c r="L9" s="1575"/>
    </row>
    <row r="10" spans="2:14" ht="13.8">
      <c r="B10" s="1295"/>
    </row>
    <row r="11" spans="2:14" ht="13.8">
      <c r="B11" s="1295"/>
    </row>
    <row r="12" spans="2:14" ht="13.8">
      <c r="B12" s="1295"/>
    </row>
    <row r="13" spans="2:14" ht="13.8">
      <c r="B13" s="1295" t="s">
        <v>951</v>
      </c>
      <c r="E13" s="1298" t="s">
        <v>952</v>
      </c>
    </row>
    <row r="14" spans="2:14" ht="13.8">
      <c r="B14" s="1295"/>
    </row>
    <row r="15" spans="2:14" ht="13.8">
      <c r="B15" s="1295" t="s">
        <v>953</v>
      </c>
      <c r="E15" s="631" t="s">
        <v>958</v>
      </c>
    </row>
    <row r="16" spans="2:14" ht="13.8">
      <c r="B16" s="1295"/>
      <c r="N16" s="1299"/>
    </row>
    <row r="17" spans="2:17" ht="14.4" thickBot="1">
      <c r="B17" s="1295"/>
      <c r="J17" s="1300"/>
      <c r="K17" s="1300"/>
      <c r="L17" s="1300"/>
      <c r="M17" s="1300"/>
      <c r="N17" s="1299"/>
    </row>
    <row r="18" spans="2:17" ht="50.4" customHeight="1" thickBot="1">
      <c r="B18" s="1576" t="s">
        <v>954</v>
      </c>
      <c r="C18" s="1577"/>
      <c r="D18" s="1577"/>
      <c r="E18" s="1577"/>
      <c r="F18" s="1577"/>
      <c r="G18" s="1577"/>
      <c r="H18" s="1577"/>
      <c r="I18" s="1578"/>
      <c r="J18" s="1579">
        <f ca="1">IF(AND(Poistné!F3="O.K.",Poistné!C42="a"),Poistné!D46*Poistné!$C$8,IF(AND(Poistné!F3="O.K.",Poistné!C42="n"),Poistné!$D$39*Poistné!$C$8,""))</f>
        <v>38.119999999999997</v>
      </c>
      <c r="K18" s="1580"/>
      <c r="L18" s="1580"/>
      <c r="M18" s="1301"/>
      <c r="N18" s="1302"/>
      <c r="O18" s="1309"/>
      <c r="P18" s="1309"/>
      <c r="Q18" s="1302"/>
    </row>
    <row r="19" spans="2:17" ht="15" customHeight="1" thickBot="1">
      <c r="B19" s="1303"/>
      <c r="C19" s="1571" t="s">
        <v>955</v>
      </c>
      <c r="D19" s="1571"/>
      <c r="E19" s="1571"/>
      <c r="F19" s="1571"/>
      <c r="G19" s="1571"/>
      <c r="H19" s="1571"/>
      <c r="I19" s="1581"/>
      <c r="J19" s="1572">
        <f ca="1">IF(Poistné!$F$3="O.K.",ROUND($J$18*0.25,2),"")</f>
        <v>9.5299999999999994</v>
      </c>
      <c r="K19" s="1573"/>
      <c r="L19" s="1573"/>
      <c r="M19" s="1304"/>
      <c r="N19" s="1305"/>
      <c r="O19" s="1311">
        <v>0.25</v>
      </c>
      <c r="P19" s="1312"/>
    </row>
    <row r="20" spans="2:17" ht="15" customHeight="1" thickBot="1">
      <c r="B20" s="1303"/>
      <c r="C20" s="1571" t="s">
        <v>956</v>
      </c>
      <c r="D20" s="1571"/>
      <c r="E20" s="1571"/>
      <c r="F20" s="1571"/>
      <c r="G20" s="1571"/>
      <c r="H20" s="1571"/>
      <c r="I20" s="1571"/>
      <c r="J20" s="1572">
        <f ca="1">IF(Poistné!$F$3="O.K.",ROUND($J$18*0.05,2),"")</f>
        <v>1.91</v>
      </c>
      <c r="K20" s="1573"/>
      <c r="L20" s="1573"/>
      <c r="M20" s="1304"/>
      <c r="N20" s="1305"/>
      <c r="O20" s="1311">
        <v>0.05</v>
      </c>
      <c r="P20" s="1312"/>
    </row>
    <row r="21" spans="2:17" ht="40.200000000000003" customHeight="1" thickBot="1">
      <c r="B21" s="1303"/>
      <c r="C21" s="1571" t="s">
        <v>957</v>
      </c>
      <c r="D21" s="1571"/>
      <c r="E21" s="1571"/>
      <c r="F21" s="1571"/>
      <c r="G21" s="1571"/>
      <c r="H21" s="1571"/>
      <c r="I21" s="1571"/>
      <c r="J21" s="1572">
        <f ca="1">IF(Poistné!$F$3="O.K.",$J$18-J19-J20,"")</f>
        <v>26.679999999999996</v>
      </c>
      <c r="K21" s="1573"/>
      <c r="L21" s="1573"/>
      <c r="M21" s="1304"/>
      <c r="N21" s="1305"/>
      <c r="O21" s="1313">
        <f>100%-O20-O19</f>
        <v>0.7</v>
      </c>
      <c r="P21" s="1312"/>
    </row>
    <row r="22" spans="2:17" ht="13.8">
      <c r="B22" s="1306"/>
      <c r="N22" s="1305"/>
      <c r="O22" s="1310"/>
      <c r="P22" s="979"/>
    </row>
    <row r="23" spans="2:17" ht="13.8">
      <c r="B23" s="1306"/>
      <c r="O23" s="1308"/>
    </row>
    <row r="24" spans="2:17">
      <c r="O24" s="1307"/>
    </row>
  </sheetData>
  <sheetProtection algorithmName="SHA-512" hashValue="3cpkHc79Hd8CB6qKmbVLCVAeZZoyXtxuz5VKHsWZX8/f3zr2l8ayXQYzTwDEa9lCsQFFNX1EEljDZcSUJlhXEg==" saltValue="O1cuK+P3dwD2sYp9Lgj+Gg==" spinCount="100000" sheet="1" objects="1" scenarios="1"/>
  <mergeCells count="10">
    <mergeCell ref="C20:I20"/>
    <mergeCell ref="J20:L20"/>
    <mergeCell ref="C21:I21"/>
    <mergeCell ref="J21:L21"/>
    <mergeCell ref="K6:L6"/>
    <mergeCell ref="B9:L9"/>
    <mergeCell ref="B18:I18"/>
    <mergeCell ref="J18:L18"/>
    <mergeCell ref="C19:I19"/>
    <mergeCell ref="J19:L19"/>
  </mergeCells>
  <pageMargins left="0.70866141732283472" right="0.70866141732283472" top="1.62" bottom="0.74803149606299213" header="0.31496062992125984" footer="0.31496062992125984"/>
  <pageSetup paperSize="9" scale="80" fitToHeight="0" orientation="portrait" verticalDpi="0" r:id="rId1"/>
  <headerFooter>
    <oddHeader>&amp;L&amp;G</oddHeader>
    <oddFooter>&amp;L&amp;G</oddFooter>
  </headerFooter>
  <legacyDrawingHF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
  <dimension ref="A2:DE477"/>
  <sheetViews>
    <sheetView workbookViewId="0">
      <selection activeCell="L34" sqref="L34"/>
    </sheetView>
  </sheetViews>
  <sheetFormatPr defaultColWidth="9.109375" defaultRowHeight="11.4"/>
  <cols>
    <col min="1" max="1" width="5.88671875" style="117" customWidth="1"/>
    <col min="2" max="2" width="28" style="87" customWidth="1"/>
    <col min="3" max="3" width="4" style="118" customWidth="1"/>
    <col min="4" max="4" width="1.109375" style="119" customWidth="1"/>
    <col min="5" max="5" width="30.88671875" style="118" customWidth="1"/>
    <col min="6" max="6" width="3.6640625" style="118" customWidth="1"/>
    <col min="7" max="7" width="1.109375" style="87" customWidth="1"/>
    <col min="8" max="8" width="28.44140625" style="87" customWidth="1"/>
    <col min="9" max="9" width="3.109375" style="118" customWidth="1"/>
    <col min="10" max="109" width="9.109375" style="117"/>
    <col min="110" max="16384" width="9.109375" style="121"/>
  </cols>
  <sheetData>
    <row r="2" spans="2:9" ht="15.6">
      <c r="E2" s="120" t="s">
        <v>541</v>
      </c>
    </row>
    <row r="3" spans="2:9" ht="12" thickBot="1"/>
    <row r="4" spans="2:9" ht="12.6" thickBot="1">
      <c r="B4" s="122" t="s">
        <v>84</v>
      </c>
      <c r="C4" s="123" t="s">
        <v>85</v>
      </c>
      <c r="E4" s="122" t="s">
        <v>86</v>
      </c>
      <c r="F4" s="123" t="s">
        <v>85</v>
      </c>
      <c r="G4" s="124"/>
      <c r="H4" s="122" t="s">
        <v>87</v>
      </c>
      <c r="I4" s="125" t="s">
        <v>85</v>
      </c>
    </row>
    <row r="5" spans="2:9" ht="12.75" customHeight="1">
      <c r="B5" s="1589" t="s">
        <v>88</v>
      </c>
      <c r="C5" s="1591">
        <v>1</v>
      </c>
      <c r="E5" s="126" t="s">
        <v>89</v>
      </c>
      <c r="F5" s="127">
        <v>1</v>
      </c>
      <c r="G5" s="119"/>
      <c r="H5" s="1597" t="s">
        <v>90</v>
      </c>
      <c r="I5" s="1599">
        <v>2</v>
      </c>
    </row>
    <row r="6" spans="2:9">
      <c r="B6" s="1590"/>
      <c r="C6" s="1592"/>
      <c r="E6" s="129" t="s">
        <v>91</v>
      </c>
      <c r="F6" s="130">
        <v>1</v>
      </c>
      <c r="G6" s="119"/>
      <c r="H6" s="1598"/>
      <c r="I6" s="1600"/>
    </row>
    <row r="7" spans="2:9" ht="12" thickBot="1">
      <c r="B7" s="129" t="s">
        <v>92</v>
      </c>
      <c r="C7" s="132">
        <v>1</v>
      </c>
      <c r="E7" s="126" t="s">
        <v>93</v>
      </c>
      <c r="F7" s="131">
        <v>1</v>
      </c>
      <c r="G7" s="119"/>
      <c r="H7" s="133" t="s">
        <v>94</v>
      </c>
      <c r="I7" s="134">
        <v>2</v>
      </c>
    </row>
    <row r="8" spans="2:9" ht="12" thickBot="1">
      <c r="B8" s="126" t="s">
        <v>95</v>
      </c>
      <c r="C8" s="135">
        <v>1</v>
      </c>
      <c r="E8" s="129" t="s">
        <v>96</v>
      </c>
      <c r="F8" s="130">
        <v>4</v>
      </c>
      <c r="G8" s="119"/>
    </row>
    <row r="9" spans="2:9" ht="12.6" thickBot="1">
      <c r="B9" s="129" t="s">
        <v>97</v>
      </c>
      <c r="C9" s="132">
        <v>4</v>
      </c>
      <c r="E9" s="126" t="s">
        <v>98</v>
      </c>
      <c r="F9" s="131">
        <v>4</v>
      </c>
      <c r="G9" s="119"/>
      <c r="H9" s="122" t="s">
        <v>99</v>
      </c>
      <c r="I9" s="125" t="s">
        <v>85</v>
      </c>
    </row>
    <row r="10" spans="2:9" ht="12" thickBot="1">
      <c r="B10" s="126" t="s">
        <v>100</v>
      </c>
      <c r="C10" s="128">
        <v>1</v>
      </c>
      <c r="E10" s="133" t="s">
        <v>101</v>
      </c>
      <c r="F10" s="134">
        <v>1</v>
      </c>
      <c r="G10" s="119"/>
      <c r="H10" s="136" t="s">
        <v>102</v>
      </c>
      <c r="I10" s="127">
        <v>1</v>
      </c>
    </row>
    <row r="11" spans="2:9" ht="12" thickBot="1">
      <c r="B11" s="129" t="s">
        <v>103</v>
      </c>
      <c r="C11" s="132">
        <v>1</v>
      </c>
      <c r="E11" s="87"/>
      <c r="G11" s="119"/>
      <c r="H11" s="129" t="s">
        <v>104</v>
      </c>
      <c r="I11" s="130">
        <v>2</v>
      </c>
    </row>
    <row r="12" spans="2:9" ht="12.6" thickBot="1">
      <c r="B12" s="126" t="s">
        <v>105</v>
      </c>
      <c r="C12" s="128">
        <v>1</v>
      </c>
      <c r="E12" s="122" t="s">
        <v>106</v>
      </c>
      <c r="F12" s="125" t="s">
        <v>85</v>
      </c>
      <c r="G12" s="119"/>
      <c r="H12" s="126" t="s">
        <v>107</v>
      </c>
      <c r="I12" s="131">
        <v>2</v>
      </c>
    </row>
    <row r="13" spans="2:9" ht="12.75" customHeight="1">
      <c r="B13" s="129" t="s">
        <v>108</v>
      </c>
      <c r="C13" s="132">
        <v>2</v>
      </c>
      <c r="E13" s="126" t="s">
        <v>109</v>
      </c>
      <c r="F13" s="131">
        <v>1</v>
      </c>
      <c r="G13" s="119"/>
      <c r="H13" s="1583" t="s">
        <v>110</v>
      </c>
      <c r="I13" s="1584">
        <v>2</v>
      </c>
    </row>
    <row r="14" spans="2:9">
      <c r="B14" s="126" t="s">
        <v>111</v>
      </c>
      <c r="C14" s="128">
        <v>1</v>
      </c>
      <c r="E14" s="129" t="s">
        <v>112</v>
      </c>
      <c r="F14" s="130">
        <v>1</v>
      </c>
      <c r="G14" s="119"/>
      <c r="H14" s="1583"/>
      <c r="I14" s="1584"/>
    </row>
    <row r="15" spans="2:9">
      <c r="B15" s="129" t="s">
        <v>113</v>
      </c>
      <c r="C15" s="132">
        <v>1</v>
      </c>
      <c r="E15" s="126" t="s">
        <v>114</v>
      </c>
      <c r="F15" s="131">
        <v>2</v>
      </c>
      <c r="G15" s="119"/>
      <c r="H15" s="126" t="s">
        <v>115</v>
      </c>
      <c r="I15" s="131">
        <v>1</v>
      </c>
    </row>
    <row r="16" spans="2:9" ht="12" thickBot="1">
      <c r="B16" s="126" t="s">
        <v>116</v>
      </c>
      <c r="C16" s="128">
        <v>2</v>
      </c>
      <c r="E16" s="129" t="s">
        <v>117</v>
      </c>
      <c r="F16" s="130">
        <v>1</v>
      </c>
      <c r="G16" s="119"/>
      <c r="H16" s="133" t="s">
        <v>118</v>
      </c>
      <c r="I16" s="134">
        <v>2</v>
      </c>
    </row>
    <row r="17" spans="2:9" ht="12" thickBot="1">
      <c r="B17" s="129" t="s">
        <v>119</v>
      </c>
      <c r="C17" s="132">
        <v>3</v>
      </c>
      <c r="E17" s="137" t="s">
        <v>120</v>
      </c>
      <c r="F17" s="138">
        <v>2</v>
      </c>
      <c r="G17" s="119"/>
    </row>
    <row r="18" spans="2:9" ht="12.6" thickBot="1">
      <c r="B18" s="137" t="s">
        <v>121</v>
      </c>
      <c r="C18" s="139" t="s">
        <v>122</v>
      </c>
      <c r="E18" s="87"/>
      <c r="G18" s="119"/>
      <c r="H18" s="122" t="s">
        <v>123</v>
      </c>
      <c r="I18" s="123" t="s">
        <v>85</v>
      </c>
    </row>
    <row r="19" spans="2:9" ht="12.6" thickBot="1">
      <c r="E19" s="122" t="s">
        <v>124</v>
      </c>
      <c r="F19" s="125" t="s">
        <v>85</v>
      </c>
      <c r="G19" s="119"/>
      <c r="H19" s="136" t="s">
        <v>125</v>
      </c>
      <c r="I19" s="127">
        <v>2</v>
      </c>
    </row>
    <row r="20" spans="2:9" ht="12.6" thickBot="1">
      <c r="B20" s="122" t="s">
        <v>126</v>
      </c>
      <c r="C20" s="125" t="s">
        <v>85</v>
      </c>
      <c r="E20" s="136" t="s">
        <v>127</v>
      </c>
      <c r="F20" s="127">
        <v>2</v>
      </c>
      <c r="G20" s="119"/>
      <c r="H20" s="129" t="s">
        <v>128</v>
      </c>
      <c r="I20" s="130">
        <v>4</v>
      </c>
    </row>
    <row r="21" spans="2:9" ht="12" thickBot="1">
      <c r="B21" s="126" t="s">
        <v>129</v>
      </c>
      <c r="C21" s="131">
        <v>3</v>
      </c>
      <c r="E21" s="129" t="s">
        <v>130</v>
      </c>
      <c r="F21" s="130">
        <v>1</v>
      </c>
      <c r="G21" s="119"/>
      <c r="H21" s="137" t="s">
        <v>131</v>
      </c>
      <c r="I21" s="138">
        <v>1</v>
      </c>
    </row>
    <row r="22" spans="2:9" ht="12" thickBot="1">
      <c r="B22" s="129" t="s">
        <v>132</v>
      </c>
      <c r="C22" s="130">
        <v>3</v>
      </c>
      <c r="E22" s="126" t="s">
        <v>133</v>
      </c>
      <c r="F22" s="131">
        <v>2</v>
      </c>
      <c r="G22" s="119"/>
    </row>
    <row r="23" spans="2:9" ht="12.6" thickBot="1">
      <c r="B23" s="126" t="s">
        <v>134</v>
      </c>
      <c r="C23" s="131">
        <v>1</v>
      </c>
      <c r="E23" s="129" t="s">
        <v>135</v>
      </c>
      <c r="F23" s="130">
        <v>1</v>
      </c>
      <c r="G23" s="119"/>
      <c r="H23" s="122" t="s">
        <v>136</v>
      </c>
      <c r="I23" s="125" t="s">
        <v>85</v>
      </c>
    </row>
    <row r="24" spans="2:9">
      <c r="B24" s="129" t="s">
        <v>137</v>
      </c>
      <c r="C24" s="130">
        <v>4</v>
      </c>
      <c r="E24" s="126" t="s">
        <v>138</v>
      </c>
      <c r="F24" s="131">
        <v>1</v>
      </c>
      <c r="G24" s="119"/>
      <c r="H24" s="126" t="s">
        <v>139</v>
      </c>
      <c r="I24" s="131">
        <v>1</v>
      </c>
    </row>
    <row r="25" spans="2:9">
      <c r="B25" s="126" t="s">
        <v>140</v>
      </c>
      <c r="C25" s="131">
        <v>2</v>
      </c>
      <c r="E25" s="129" t="s">
        <v>141</v>
      </c>
      <c r="F25" s="130">
        <v>1</v>
      </c>
      <c r="G25" s="119"/>
      <c r="H25" s="129" t="s">
        <v>142</v>
      </c>
      <c r="I25" s="130">
        <v>2</v>
      </c>
    </row>
    <row r="26" spans="2:9">
      <c r="B26" s="129" t="s">
        <v>143</v>
      </c>
      <c r="C26" s="130">
        <v>1</v>
      </c>
      <c r="E26" s="126" t="s">
        <v>144</v>
      </c>
      <c r="F26" s="131">
        <v>1</v>
      </c>
      <c r="G26" s="119"/>
      <c r="H26" s="126" t="s">
        <v>145</v>
      </c>
      <c r="I26" s="131">
        <v>1</v>
      </c>
    </row>
    <row r="27" spans="2:9">
      <c r="B27" s="126" t="s">
        <v>146</v>
      </c>
      <c r="C27" s="131">
        <v>2</v>
      </c>
      <c r="E27" s="129" t="s">
        <v>147</v>
      </c>
      <c r="F27" s="130">
        <v>1</v>
      </c>
      <c r="G27" s="119"/>
      <c r="H27" s="129" t="s">
        <v>148</v>
      </c>
      <c r="I27" s="130">
        <v>1</v>
      </c>
    </row>
    <row r="28" spans="2:9">
      <c r="B28" s="129" t="s">
        <v>149</v>
      </c>
      <c r="C28" s="130">
        <v>1</v>
      </c>
      <c r="E28" s="126" t="s">
        <v>150</v>
      </c>
      <c r="F28" s="131">
        <v>1</v>
      </c>
      <c r="G28" s="119"/>
      <c r="H28" s="126" t="s">
        <v>151</v>
      </c>
      <c r="I28" s="131">
        <v>4</v>
      </c>
    </row>
    <row r="29" spans="2:9">
      <c r="B29" s="126" t="s">
        <v>152</v>
      </c>
      <c r="C29" s="131">
        <v>1</v>
      </c>
      <c r="E29" s="129" t="s">
        <v>153</v>
      </c>
      <c r="F29" s="130">
        <v>1</v>
      </c>
      <c r="G29" s="119"/>
      <c r="H29" s="129" t="s">
        <v>154</v>
      </c>
      <c r="I29" s="130">
        <v>2</v>
      </c>
    </row>
    <row r="30" spans="2:9">
      <c r="B30" s="129" t="s">
        <v>155</v>
      </c>
      <c r="C30" s="130">
        <v>4</v>
      </c>
      <c r="E30" s="126" t="s">
        <v>156</v>
      </c>
      <c r="F30" s="131">
        <v>4</v>
      </c>
      <c r="G30" s="119"/>
      <c r="H30" s="126" t="s">
        <v>157</v>
      </c>
      <c r="I30" s="131">
        <v>4</v>
      </c>
    </row>
    <row r="31" spans="2:9" ht="12" thickBot="1">
      <c r="B31" s="137" t="s">
        <v>158</v>
      </c>
      <c r="C31" s="138">
        <v>4</v>
      </c>
      <c r="E31" s="129" t="s">
        <v>159</v>
      </c>
      <c r="F31" s="130">
        <v>3</v>
      </c>
      <c r="G31" s="119"/>
      <c r="H31" s="129" t="s">
        <v>160</v>
      </c>
      <c r="I31" s="130">
        <v>1</v>
      </c>
    </row>
    <row r="32" spans="2:9" ht="12" thickBot="1">
      <c r="E32" s="137" t="s">
        <v>161</v>
      </c>
      <c r="F32" s="138">
        <v>1</v>
      </c>
      <c r="G32" s="119"/>
      <c r="H32" s="126" t="s">
        <v>162</v>
      </c>
      <c r="I32" s="131">
        <v>1</v>
      </c>
    </row>
    <row r="33" spans="2:9" ht="12.6" thickBot="1">
      <c r="B33" s="122" t="s">
        <v>163</v>
      </c>
      <c r="C33" s="125" t="s">
        <v>85</v>
      </c>
      <c r="E33" s="87"/>
      <c r="G33" s="119"/>
      <c r="H33" s="129" t="s">
        <v>164</v>
      </c>
      <c r="I33" s="130">
        <v>1</v>
      </c>
    </row>
    <row r="34" spans="2:9" ht="12.6" thickBot="1">
      <c r="B34" s="126" t="s">
        <v>165</v>
      </c>
      <c r="C34" s="131">
        <v>2</v>
      </c>
      <c r="E34" s="122" t="s">
        <v>166</v>
      </c>
      <c r="F34" s="125" t="s">
        <v>85</v>
      </c>
      <c r="G34" s="119"/>
      <c r="H34" s="126" t="s">
        <v>167</v>
      </c>
      <c r="I34" s="131">
        <v>1</v>
      </c>
    </row>
    <row r="35" spans="2:9" ht="12.75" customHeight="1">
      <c r="B35" s="1583" t="s">
        <v>168</v>
      </c>
      <c r="C35" s="1584">
        <v>1</v>
      </c>
      <c r="E35" s="136" t="s">
        <v>169</v>
      </c>
      <c r="F35" s="131">
        <v>4</v>
      </c>
      <c r="G35" s="119"/>
      <c r="H35" s="129" t="s">
        <v>170</v>
      </c>
      <c r="I35" s="130">
        <v>1</v>
      </c>
    </row>
    <row r="36" spans="2:9">
      <c r="B36" s="1583"/>
      <c r="C36" s="1584"/>
      <c r="E36" s="129" t="s">
        <v>171</v>
      </c>
      <c r="F36" s="130">
        <v>2</v>
      </c>
      <c r="G36" s="119"/>
      <c r="H36" s="126" t="s">
        <v>172</v>
      </c>
      <c r="I36" s="131">
        <v>2</v>
      </c>
    </row>
    <row r="37" spans="2:9" ht="12.75" customHeight="1">
      <c r="B37" s="126" t="s">
        <v>173</v>
      </c>
      <c r="C37" s="131">
        <v>1</v>
      </c>
      <c r="E37" s="126" t="s">
        <v>174</v>
      </c>
      <c r="F37" s="131">
        <v>2</v>
      </c>
      <c r="G37" s="119"/>
      <c r="H37" s="1583" t="s">
        <v>175</v>
      </c>
      <c r="I37" s="1584">
        <v>1</v>
      </c>
    </row>
    <row r="38" spans="2:9">
      <c r="B38" s="129" t="s">
        <v>176</v>
      </c>
      <c r="C38" s="130">
        <v>1</v>
      </c>
      <c r="E38" s="129" t="s">
        <v>177</v>
      </c>
      <c r="F38" s="130">
        <v>1</v>
      </c>
      <c r="G38" s="119"/>
      <c r="H38" s="1583"/>
      <c r="I38" s="1584"/>
    </row>
    <row r="39" spans="2:9">
      <c r="B39" s="126" t="s">
        <v>178</v>
      </c>
      <c r="C39" s="131">
        <v>1</v>
      </c>
      <c r="E39" s="126" t="s">
        <v>179</v>
      </c>
      <c r="F39" s="131">
        <v>1</v>
      </c>
      <c r="G39" s="119"/>
      <c r="H39" s="126" t="s">
        <v>180</v>
      </c>
      <c r="I39" s="131">
        <v>2</v>
      </c>
    </row>
    <row r="40" spans="2:9" ht="12" thickBot="1">
      <c r="B40" s="133" t="s">
        <v>181</v>
      </c>
      <c r="C40" s="134">
        <v>4</v>
      </c>
      <c r="E40" s="129" t="s">
        <v>182</v>
      </c>
      <c r="F40" s="130">
        <v>2</v>
      </c>
      <c r="G40" s="119"/>
      <c r="H40" s="129" t="s">
        <v>183</v>
      </c>
      <c r="I40" s="130">
        <v>1</v>
      </c>
    </row>
    <row r="41" spans="2:9" ht="12" thickBot="1">
      <c r="E41" s="126" t="s">
        <v>184</v>
      </c>
      <c r="F41" s="131">
        <v>1</v>
      </c>
      <c r="G41" s="119"/>
      <c r="H41" s="126" t="s">
        <v>185</v>
      </c>
      <c r="I41" s="131">
        <v>1</v>
      </c>
    </row>
    <row r="42" spans="2:9" ht="12.6" thickBot="1">
      <c r="B42" s="122" t="s">
        <v>186</v>
      </c>
      <c r="C42" s="125" t="s">
        <v>85</v>
      </c>
      <c r="E42" s="129" t="s">
        <v>187</v>
      </c>
      <c r="F42" s="130">
        <v>1</v>
      </c>
      <c r="G42" s="119"/>
      <c r="H42" s="129" t="s">
        <v>188</v>
      </c>
      <c r="I42" s="130">
        <v>1</v>
      </c>
    </row>
    <row r="43" spans="2:9" ht="12" thickBot="1">
      <c r="B43" s="126" t="s">
        <v>189</v>
      </c>
      <c r="C43" s="131">
        <v>2</v>
      </c>
      <c r="E43" s="137" t="s">
        <v>190</v>
      </c>
      <c r="F43" s="138">
        <v>2</v>
      </c>
      <c r="G43" s="119"/>
      <c r="H43" s="126" t="s">
        <v>191</v>
      </c>
      <c r="I43" s="131">
        <v>3</v>
      </c>
    </row>
    <row r="44" spans="2:9" ht="12" thickBot="1">
      <c r="B44" s="129" t="s">
        <v>192</v>
      </c>
      <c r="C44" s="130">
        <v>2</v>
      </c>
      <c r="E44" s="87"/>
      <c r="G44" s="119"/>
      <c r="H44" s="129" t="s">
        <v>193</v>
      </c>
      <c r="I44" s="130">
        <v>1</v>
      </c>
    </row>
    <row r="45" spans="2:9" ht="12">
      <c r="B45" s="126" t="s">
        <v>194</v>
      </c>
      <c r="C45" s="131">
        <v>1</v>
      </c>
      <c r="E45" s="140" t="s">
        <v>195</v>
      </c>
      <c r="F45" s="141" t="s">
        <v>85</v>
      </c>
      <c r="G45" s="119"/>
      <c r="H45" s="126" t="s">
        <v>196</v>
      </c>
      <c r="I45" s="131">
        <v>1</v>
      </c>
    </row>
    <row r="46" spans="2:9">
      <c r="B46" s="129" t="s">
        <v>197</v>
      </c>
      <c r="C46" s="130">
        <v>2</v>
      </c>
      <c r="E46" s="126" t="s">
        <v>198</v>
      </c>
      <c r="F46" s="131">
        <v>1</v>
      </c>
      <c r="G46" s="119"/>
      <c r="H46" s="129" t="s">
        <v>199</v>
      </c>
      <c r="I46" s="130">
        <v>2</v>
      </c>
    </row>
    <row r="47" spans="2:9">
      <c r="B47" s="126" t="s">
        <v>200</v>
      </c>
      <c r="C47" s="131">
        <v>4</v>
      </c>
      <c r="E47" s="129" t="s">
        <v>201</v>
      </c>
      <c r="F47" s="130">
        <v>1</v>
      </c>
      <c r="G47" s="119"/>
      <c r="H47" s="126" t="s">
        <v>202</v>
      </c>
      <c r="I47" s="131">
        <v>1</v>
      </c>
    </row>
    <row r="48" spans="2:9">
      <c r="B48" s="129" t="s">
        <v>203</v>
      </c>
      <c r="C48" s="130">
        <v>2</v>
      </c>
      <c r="E48" s="126" t="s">
        <v>204</v>
      </c>
      <c r="F48" s="131">
        <v>1</v>
      </c>
      <c r="G48" s="119"/>
      <c r="H48" s="129" t="s">
        <v>205</v>
      </c>
      <c r="I48" s="130">
        <v>4</v>
      </c>
    </row>
    <row r="49" spans="2:9" ht="12.75" customHeight="1">
      <c r="B49" s="1590" t="s">
        <v>206</v>
      </c>
      <c r="C49" s="1595">
        <v>3</v>
      </c>
      <c r="E49" s="129" t="s">
        <v>207</v>
      </c>
      <c r="F49" s="130">
        <v>1</v>
      </c>
      <c r="G49" s="119"/>
      <c r="H49" s="126" t="s">
        <v>208</v>
      </c>
      <c r="I49" s="131">
        <v>1</v>
      </c>
    </row>
    <row r="50" spans="2:9">
      <c r="B50" s="1590"/>
      <c r="C50" s="1595"/>
      <c r="E50" s="126" t="s">
        <v>209</v>
      </c>
      <c r="F50" s="131">
        <v>4</v>
      </c>
      <c r="G50" s="119"/>
      <c r="H50" s="129" t="s">
        <v>210</v>
      </c>
      <c r="I50" s="130">
        <v>1</v>
      </c>
    </row>
    <row r="51" spans="2:9" ht="12.75" customHeight="1">
      <c r="B51" s="1583" t="s">
        <v>211</v>
      </c>
      <c r="C51" s="1584">
        <v>4</v>
      </c>
      <c r="E51" s="129" t="s">
        <v>212</v>
      </c>
      <c r="F51" s="130">
        <v>2</v>
      </c>
      <c r="G51" s="119"/>
      <c r="H51" s="126" t="s">
        <v>213</v>
      </c>
      <c r="I51" s="131">
        <v>1</v>
      </c>
    </row>
    <row r="52" spans="2:9">
      <c r="B52" s="1583"/>
      <c r="C52" s="1584"/>
      <c r="E52" s="126" t="s">
        <v>214</v>
      </c>
      <c r="F52" s="131">
        <v>1</v>
      </c>
      <c r="G52" s="119"/>
      <c r="H52" s="129" t="s">
        <v>215</v>
      </c>
      <c r="I52" s="130">
        <v>2</v>
      </c>
    </row>
    <row r="53" spans="2:9" ht="12" thickBot="1">
      <c r="B53" s="137" t="s">
        <v>216</v>
      </c>
      <c r="C53" s="138">
        <v>3</v>
      </c>
      <c r="E53" s="129" t="s">
        <v>217</v>
      </c>
      <c r="F53" s="130">
        <v>1</v>
      </c>
      <c r="G53" s="119"/>
      <c r="H53" s="126" t="s">
        <v>218</v>
      </c>
      <c r="I53" s="131">
        <v>4</v>
      </c>
    </row>
    <row r="54" spans="2:9" ht="12" thickBot="1">
      <c r="E54" s="126" t="s">
        <v>219</v>
      </c>
      <c r="F54" s="131">
        <v>1</v>
      </c>
      <c r="G54" s="119"/>
      <c r="H54" s="129" t="s">
        <v>220</v>
      </c>
      <c r="I54" s="130" t="s">
        <v>122</v>
      </c>
    </row>
    <row r="55" spans="2:9" ht="12.6" thickBot="1">
      <c r="B55" s="122" t="s">
        <v>86</v>
      </c>
      <c r="C55" s="125" t="s">
        <v>85</v>
      </c>
      <c r="D55" s="124"/>
      <c r="E55" s="129" t="s">
        <v>221</v>
      </c>
      <c r="F55" s="130">
        <v>4</v>
      </c>
      <c r="G55" s="119"/>
      <c r="H55" s="126" t="s">
        <v>222</v>
      </c>
      <c r="I55" s="131">
        <v>2</v>
      </c>
    </row>
    <row r="56" spans="2:9">
      <c r="B56" s="126" t="s">
        <v>223</v>
      </c>
      <c r="C56" s="131">
        <v>2</v>
      </c>
      <c r="E56" s="126" t="s">
        <v>224</v>
      </c>
      <c r="F56" s="131">
        <v>1</v>
      </c>
      <c r="G56" s="119"/>
      <c r="H56" s="129" t="s">
        <v>225</v>
      </c>
      <c r="I56" s="130">
        <v>1</v>
      </c>
    </row>
    <row r="57" spans="2:9">
      <c r="B57" s="129" t="s">
        <v>226</v>
      </c>
      <c r="C57" s="130">
        <v>1</v>
      </c>
      <c r="E57" s="129" t="s">
        <v>227</v>
      </c>
      <c r="F57" s="130">
        <v>1</v>
      </c>
      <c r="G57" s="119"/>
      <c r="H57" s="126" t="s">
        <v>228</v>
      </c>
      <c r="I57" s="131">
        <v>1</v>
      </c>
    </row>
    <row r="58" spans="2:9" ht="12" thickBot="1">
      <c r="B58" s="126" t="s">
        <v>229</v>
      </c>
      <c r="C58" s="131">
        <v>3</v>
      </c>
      <c r="E58" s="137" t="s">
        <v>230</v>
      </c>
      <c r="F58" s="138">
        <v>1</v>
      </c>
      <c r="G58" s="119"/>
      <c r="H58" s="129" t="s">
        <v>231</v>
      </c>
      <c r="I58" s="130">
        <v>1</v>
      </c>
    </row>
    <row r="59" spans="2:9" ht="12" thickBot="1">
      <c r="B59" s="129" t="s">
        <v>232</v>
      </c>
      <c r="C59" s="130">
        <v>1</v>
      </c>
      <c r="E59" s="87"/>
      <c r="G59" s="119"/>
      <c r="H59" s="126" t="s">
        <v>233</v>
      </c>
      <c r="I59" s="131">
        <v>2</v>
      </c>
    </row>
    <row r="60" spans="2:9" ht="12.6" thickBot="1">
      <c r="B60" s="126" t="s">
        <v>234</v>
      </c>
      <c r="C60" s="131">
        <v>2</v>
      </c>
      <c r="E60" s="122" t="s">
        <v>235</v>
      </c>
      <c r="F60" s="125" t="s">
        <v>85</v>
      </c>
      <c r="G60" s="119"/>
      <c r="H60" s="133" t="s">
        <v>236</v>
      </c>
      <c r="I60" s="134">
        <v>2</v>
      </c>
    </row>
    <row r="61" spans="2:9" ht="12" thickBot="1">
      <c r="B61" s="129" t="s">
        <v>237</v>
      </c>
      <c r="C61" s="130">
        <v>2</v>
      </c>
      <c r="E61" s="126" t="s">
        <v>238</v>
      </c>
      <c r="F61" s="131">
        <v>3</v>
      </c>
      <c r="G61" s="119"/>
    </row>
    <row r="62" spans="2:9" ht="12.6" thickBot="1">
      <c r="B62" s="126" t="s">
        <v>239</v>
      </c>
      <c r="C62" s="131">
        <v>1</v>
      </c>
      <c r="E62" s="129" t="s">
        <v>240</v>
      </c>
      <c r="F62" s="130">
        <v>1</v>
      </c>
      <c r="G62" s="119"/>
      <c r="H62" s="122" t="s">
        <v>241</v>
      </c>
      <c r="I62" s="125" t="s">
        <v>85</v>
      </c>
    </row>
    <row r="63" spans="2:9" ht="12.75" customHeight="1">
      <c r="B63" s="1583" t="s">
        <v>242</v>
      </c>
      <c r="C63" s="1584">
        <v>3</v>
      </c>
      <c r="E63" s="126" t="s">
        <v>243</v>
      </c>
      <c r="F63" s="131">
        <v>1</v>
      </c>
      <c r="G63" s="119"/>
      <c r="H63" s="126" t="s">
        <v>244</v>
      </c>
      <c r="I63" s="131"/>
    </row>
    <row r="64" spans="2:9" ht="12" thickBot="1">
      <c r="B64" s="1593"/>
      <c r="C64" s="1594"/>
      <c r="E64" s="133" t="s">
        <v>245</v>
      </c>
      <c r="F64" s="134">
        <v>2</v>
      </c>
      <c r="G64" s="119"/>
      <c r="H64" s="133" t="s">
        <v>246</v>
      </c>
      <c r="I64" s="134">
        <v>1</v>
      </c>
    </row>
    <row r="65" spans="2:9" ht="12.6" thickBot="1">
      <c r="B65" s="122" t="s">
        <v>241</v>
      </c>
      <c r="C65" s="125" t="s">
        <v>85</v>
      </c>
      <c r="E65" s="122" t="s">
        <v>247</v>
      </c>
      <c r="F65" s="125" t="s">
        <v>85</v>
      </c>
      <c r="G65" s="119"/>
      <c r="H65" s="122" t="s">
        <v>286</v>
      </c>
      <c r="I65" s="125" t="s">
        <v>85</v>
      </c>
    </row>
    <row r="66" spans="2:9" ht="12.75" customHeight="1">
      <c r="B66" s="126" t="s">
        <v>248</v>
      </c>
      <c r="C66" s="131">
        <v>2</v>
      </c>
      <c r="E66" s="1601" t="s">
        <v>249</v>
      </c>
      <c r="F66" s="1603">
        <v>2</v>
      </c>
      <c r="H66" s="126" t="s">
        <v>250</v>
      </c>
      <c r="I66" s="131">
        <v>4</v>
      </c>
    </row>
    <row r="67" spans="2:9">
      <c r="B67" s="129" t="s">
        <v>78</v>
      </c>
      <c r="C67" s="130">
        <v>1</v>
      </c>
      <c r="E67" s="1602"/>
      <c r="F67" s="1595"/>
      <c r="H67" s="129" t="s">
        <v>251</v>
      </c>
      <c r="I67" s="130">
        <v>3</v>
      </c>
    </row>
    <row r="68" spans="2:9">
      <c r="B68" s="126" t="s">
        <v>252</v>
      </c>
      <c r="C68" s="131">
        <v>4</v>
      </c>
      <c r="E68" s="1602"/>
      <c r="F68" s="1595"/>
      <c r="H68" s="126" t="s">
        <v>253</v>
      </c>
      <c r="I68" s="131">
        <v>3</v>
      </c>
    </row>
    <row r="69" spans="2:9">
      <c r="B69" s="129" t="s">
        <v>254</v>
      </c>
      <c r="C69" s="130">
        <v>2</v>
      </c>
      <c r="E69" s="129" t="s">
        <v>255</v>
      </c>
      <c r="F69" s="130">
        <v>2</v>
      </c>
      <c r="H69" s="129" t="s">
        <v>256</v>
      </c>
      <c r="I69" s="130">
        <v>3</v>
      </c>
    </row>
    <row r="70" spans="2:9">
      <c r="B70" s="126" t="s">
        <v>257</v>
      </c>
      <c r="C70" s="131">
        <v>1</v>
      </c>
      <c r="E70" s="126" t="s">
        <v>258</v>
      </c>
      <c r="F70" s="131">
        <v>1</v>
      </c>
      <c r="H70" s="126" t="s">
        <v>259</v>
      </c>
      <c r="I70" s="131">
        <v>3</v>
      </c>
    </row>
    <row r="71" spans="2:9">
      <c r="B71" s="129" t="s">
        <v>260</v>
      </c>
      <c r="C71" s="130">
        <v>1</v>
      </c>
      <c r="E71" s="129" t="s">
        <v>261</v>
      </c>
      <c r="F71" s="130">
        <v>1</v>
      </c>
      <c r="H71" s="129" t="s">
        <v>262</v>
      </c>
      <c r="I71" s="130">
        <v>1</v>
      </c>
    </row>
    <row r="72" spans="2:9" ht="12.75" customHeight="1">
      <c r="B72" s="1590" t="s">
        <v>263</v>
      </c>
      <c r="C72" s="131"/>
      <c r="E72" s="126" t="s">
        <v>264</v>
      </c>
      <c r="F72" s="131">
        <v>1</v>
      </c>
      <c r="H72" s="1590" t="s">
        <v>265</v>
      </c>
      <c r="I72" s="1595">
        <v>1</v>
      </c>
    </row>
    <row r="73" spans="2:9">
      <c r="B73" s="1590"/>
      <c r="C73" s="131">
        <v>2</v>
      </c>
      <c r="E73" s="129" t="s">
        <v>266</v>
      </c>
      <c r="F73" s="130">
        <v>2</v>
      </c>
      <c r="H73" s="1590"/>
      <c r="I73" s="1595"/>
    </row>
    <row r="74" spans="2:9" ht="12.75" customHeight="1">
      <c r="B74" s="129" t="s">
        <v>267</v>
      </c>
      <c r="C74" s="130">
        <v>4</v>
      </c>
      <c r="E74" s="126" t="s">
        <v>268</v>
      </c>
      <c r="F74" s="131">
        <v>2</v>
      </c>
      <c r="H74" s="1583" t="s">
        <v>269</v>
      </c>
      <c r="I74" s="1584">
        <v>4</v>
      </c>
    </row>
    <row r="75" spans="2:9">
      <c r="B75" s="126" t="s">
        <v>270</v>
      </c>
      <c r="C75" s="131">
        <v>4</v>
      </c>
      <c r="E75" s="129" t="s">
        <v>271</v>
      </c>
      <c r="F75" s="130">
        <v>1</v>
      </c>
      <c r="H75" s="1583"/>
      <c r="I75" s="1584"/>
    </row>
    <row r="76" spans="2:9">
      <c r="B76" s="129" t="s">
        <v>272</v>
      </c>
      <c r="C76" s="130">
        <v>4</v>
      </c>
      <c r="E76" s="126" t="s">
        <v>273</v>
      </c>
      <c r="F76" s="131">
        <v>1</v>
      </c>
      <c r="H76" s="126" t="s">
        <v>274</v>
      </c>
      <c r="I76" s="131">
        <v>2</v>
      </c>
    </row>
    <row r="77" spans="2:9">
      <c r="B77" s="126" t="s">
        <v>275</v>
      </c>
      <c r="C77" s="131">
        <v>4</v>
      </c>
      <c r="E77" s="129" t="s">
        <v>276</v>
      </c>
      <c r="F77" s="130">
        <v>1</v>
      </c>
      <c r="H77" s="129" t="s">
        <v>277</v>
      </c>
      <c r="I77" s="130">
        <v>4</v>
      </c>
    </row>
    <row r="78" spans="2:9">
      <c r="B78" s="129" t="s">
        <v>278</v>
      </c>
      <c r="C78" s="130">
        <v>1</v>
      </c>
      <c r="E78" s="126" t="s">
        <v>279</v>
      </c>
      <c r="F78" s="131">
        <v>1</v>
      </c>
      <c r="H78" s="126" t="s">
        <v>280</v>
      </c>
      <c r="I78" s="131">
        <v>1</v>
      </c>
    </row>
    <row r="79" spans="2:9" ht="13.5" customHeight="1" thickBot="1">
      <c r="B79" s="126" t="s">
        <v>281</v>
      </c>
      <c r="C79" s="131">
        <v>1</v>
      </c>
      <c r="E79" s="133" t="s">
        <v>282</v>
      </c>
      <c r="F79" s="134">
        <v>2</v>
      </c>
      <c r="H79" s="1583" t="s">
        <v>283</v>
      </c>
      <c r="I79" s="1584">
        <v>4</v>
      </c>
    </row>
    <row r="80" spans="2:9" ht="12" thickBot="1">
      <c r="B80" s="129" t="s">
        <v>284</v>
      </c>
      <c r="C80" s="130">
        <v>2</v>
      </c>
      <c r="E80" s="87"/>
      <c r="H80" s="1583"/>
      <c r="I80" s="1584"/>
    </row>
    <row r="81" spans="2:9" ht="13.5" customHeight="1" thickBot="1">
      <c r="B81" s="126" t="s">
        <v>285</v>
      </c>
      <c r="C81" s="131">
        <v>3</v>
      </c>
      <c r="E81" s="122" t="s">
        <v>286</v>
      </c>
      <c r="F81" s="125" t="s">
        <v>85</v>
      </c>
      <c r="H81" s="1590" t="s">
        <v>287</v>
      </c>
      <c r="I81" s="1595">
        <v>1</v>
      </c>
    </row>
    <row r="82" spans="2:9" ht="12" thickBot="1">
      <c r="B82" s="133" t="s">
        <v>288</v>
      </c>
      <c r="C82" s="134">
        <v>3</v>
      </c>
      <c r="E82" s="126" t="s">
        <v>289</v>
      </c>
      <c r="F82" s="131">
        <v>4</v>
      </c>
      <c r="H82" s="1590"/>
      <c r="I82" s="1595"/>
    </row>
    <row r="83" spans="2:9" ht="13.5" customHeight="1" thickBot="1">
      <c r="E83" s="129" t="s">
        <v>290</v>
      </c>
      <c r="F83" s="130">
        <v>2</v>
      </c>
      <c r="H83" s="1583" t="s">
        <v>291</v>
      </c>
      <c r="I83" s="130"/>
    </row>
    <row r="84" spans="2:9" ht="12.6" thickBot="1">
      <c r="B84" s="122" t="s">
        <v>292</v>
      </c>
      <c r="C84" s="123" t="s">
        <v>85</v>
      </c>
      <c r="E84" s="126" t="s">
        <v>293</v>
      </c>
      <c r="F84" s="131">
        <v>1</v>
      </c>
      <c r="H84" s="1583"/>
      <c r="I84" s="130">
        <v>1</v>
      </c>
    </row>
    <row r="85" spans="2:9">
      <c r="B85" s="126" t="s">
        <v>294</v>
      </c>
      <c r="C85" s="127">
        <v>1</v>
      </c>
      <c r="E85" s="129" t="s">
        <v>295</v>
      </c>
      <c r="F85" s="130">
        <v>2</v>
      </c>
      <c r="H85" s="126" t="s">
        <v>296</v>
      </c>
      <c r="I85" s="131">
        <v>1</v>
      </c>
    </row>
    <row r="86" spans="2:9">
      <c r="B86" s="129" t="s">
        <v>297</v>
      </c>
      <c r="C86" s="130">
        <v>1</v>
      </c>
      <c r="E86" s="126" t="s">
        <v>298</v>
      </c>
      <c r="F86" s="131">
        <v>1</v>
      </c>
      <c r="H86" s="129" t="s">
        <v>299</v>
      </c>
      <c r="I86" s="130">
        <v>1</v>
      </c>
    </row>
    <row r="87" spans="2:9">
      <c r="B87" s="126" t="s">
        <v>300</v>
      </c>
      <c r="C87" s="131">
        <v>2</v>
      </c>
      <c r="E87" s="129" t="s">
        <v>301</v>
      </c>
      <c r="F87" s="130">
        <v>2</v>
      </c>
      <c r="H87" s="126" t="s">
        <v>302</v>
      </c>
      <c r="I87" s="131">
        <v>1</v>
      </c>
    </row>
    <row r="88" spans="2:9">
      <c r="B88" s="129" t="s">
        <v>303</v>
      </c>
      <c r="C88" s="130">
        <v>2</v>
      </c>
      <c r="E88" s="126" t="s">
        <v>304</v>
      </c>
      <c r="F88" s="131">
        <v>2</v>
      </c>
      <c r="H88" s="129" t="s">
        <v>305</v>
      </c>
      <c r="I88" s="130">
        <v>1</v>
      </c>
    </row>
    <row r="89" spans="2:9">
      <c r="B89" s="126" t="s">
        <v>306</v>
      </c>
      <c r="C89" s="131">
        <v>1</v>
      </c>
      <c r="E89" s="129" t="s">
        <v>307</v>
      </c>
      <c r="F89" s="130">
        <v>4</v>
      </c>
      <c r="H89" s="126" t="s">
        <v>308</v>
      </c>
      <c r="I89" s="131">
        <v>1</v>
      </c>
    </row>
    <row r="90" spans="2:9" ht="12.75" customHeight="1">
      <c r="B90" s="129" t="s">
        <v>309</v>
      </c>
      <c r="C90" s="130">
        <v>1</v>
      </c>
      <c r="E90" s="1590" t="s">
        <v>310</v>
      </c>
      <c r="F90" s="1595">
        <v>2</v>
      </c>
      <c r="H90" s="129" t="s">
        <v>311</v>
      </c>
      <c r="I90" s="130">
        <v>1</v>
      </c>
    </row>
    <row r="91" spans="2:9">
      <c r="B91" s="126" t="s">
        <v>312</v>
      </c>
      <c r="C91" s="131">
        <v>1</v>
      </c>
      <c r="E91" s="1590"/>
      <c r="F91" s="1595"/>
      <c r="H91" s="126" t="s">
        <v>313</v>
      </c>
      <c r="I91" s="131">
        <v>2</v>
      </c>
    </row>
    <row r="92" spans="2:9">
      <c r="B92" s="129" t="s">
        <v>314</v>
      </c>
      <c r="C92" s="130">
        <v>1</v>
      </c>
      <c r="E92" s="129" t="s">
        <v>315</v>
      </c>
      <c r="F92" s="130">
        <v>2</v>
      </c>
      <c r="H92" s="129" t="s">
        <v>316</v>
      </c>
      <c r="I92" s="130">
        <v>1</v>
      </c>
    </row>
    <row r="93" spans="2:9">
      <c r="B93" s="126" t="s">
        <v>317</v>
      </c>
      <c r="C93" s="131">
        <v>1</v>
      </c>
      <c r="E93" s="126" t="s">
        <v>318</v>
      </c>
      <c r="F93" s="131">
        <v>1</v>
      </c>
      <c r="H93" s="126" t="s">
        <v>319</v>
      </c>
      <c r="I93" s="131">
        <v>1</v>
      </c>
    </row>
    <row r="94" spans="2:9">
      <c r="B94" s="129" t="s">
        <v>320</v>
      </c>
      <c r="C94" s="130">
        <v>3</v>
      </c>
      <c r="E94" s="129" t="s">
        <v>321</v>
      </c>
      <c r="F94" s="130">
        <v>2</v>
      </c>
      <c r="H94" s="129" t="s">
        <v>322</v>
      </c>
      <c r="I94" s="130">
        <v>1</v>
      </c>
    </row>
    <row r="95" spans="2:9" ht="12" thickBot="1">
      <c r="B95" s="126" t="s">
        <v>323</v>
      </c>
      <c r="C95" s="131">
        <v>2</v>
      </c>
      <c r="E95" s="126" t="s">
        <v>324</v>
      </c>
      <c r="F95" s="131">
        <v>4</v>
      </c>
      <c r="H95" s="137" t="s">
        <v>325</v>
      </c>
      <c r="I95" s="138">
        <v>1</v>
      </c>
    </row>
    <row r="96" spans="2:9" ht="13.5" customHeight="1" thickBot="1">
      <c r="B96" s="1583" t="s">
        <v>326</v>
      </c>
      <c r="C96" s="1584">
        <v>1</v>
      </c>
      <c r="E96" s="1583" t="s">
        <v>327</v>
      </c>
      <c r="F96" s="1584">
        <v>3</v>
      </c>
    </row>
    <row r="97" spans="2:9" ht="12.6" thickBot="1">
      <c r="B97" s="1583"/>
      <c r="C97" s="1584"/>
      <c r="E97" s="1583"/>
      <c r="F97" s="1584"/>
      <c r="H97" s="122" t="s">
        <v>328</v>
      </c>
      <c r="I97" s="123" t="s">
        <v>85</v>
      </c>
    </row>
    <row r="98" spans="2:9" ht="12.75" customHeight="1">
      <c r="B98" s="1590" t="s">
        <v>329</v>
      </c>
      <c r="C98" s="1595">
        <v>3</v>
      </c>
      <c r="E98" s="126" t="s">
        <v>330</v>
      </c>
      <c r="F98" s="131">
        <v>4</v>
      </c>
      <c r="H98" s="126" t="s">
        <v>331</v>
      </c>
      <c r="I98" s="128">
        <v>1</v>
      </c>
    </row>
    <row r="99" spans="2:9">
      <c r="B99" s="1590"/>
      <c r="C99" s="1595"/>
      <c r="E99" s="129" t="s">
        <v>332</v>
      </c>
      <c r="F99" s="130">
        <v>2</v>
      </c>
      <c r="H99" s="129" t="s">
        <v>333</v>
      </c>
      <c r="I99" s="132">
        <v>1</v>
      </c>
    </row>
    <row r="100" spans="2:9" ht="12.75" customHeight="1">
      <c r="B100" s="1583" t="s">
        <v>334</v>
      </c>
      <c r="C100" s="1584">
        <v>2</v>
      </c>
      <c r="E100" s="126" t="s">
        <v>335</v>
      </c>
      <c r="F100" s="131">
        <v>1</v>
      </c>
      <c r="H100" s="126" t="s">
        <v>336</v>
      </c>
      <c r="I100" s="128">
        <v>1</v>
      </c>
    </row>
    <row r="101" spans="2:9">
      <c r="B101" s="1583"/>
      <c r="C101" s="1584"/>
      <c r="E101" s="129" t="s">
        <v>337</v>
      </c>
      <c r="F101" s="130">
        <v>4</v>
      </c>
      <c r="H101" s="129" t="s">
        <v>338</v>
      </c>
      <c r="I101" s="132">
        <v>4</v>
      </c>
    </row>
    <row r="102" spans="2:9">
      <c r="B102" s="126" t="s">
        <v>339</v>
      </c>
      <c r="C102" s="131">
        <v>2</v>
      </c>
      <c r="E102" s="126" t="s">
        <v>340</v>
      </c>
      <c r="F102" s="131">
        <v>3</v>
      </c>
      <c r="H102" s="126" t="s">
        <v>341</v>
      </c>
      <c r="I102" s="128">
        <v>1</v>
      </c>
    </row>
    <row r="103" spans="2:9">
      <c r="B103" s="129" t="s">
        <v>342</v>
      </c>
      <c r="C103" s="130">
        <v>2</v>
      </c>
      <c r="E103" s="129" t="s">
        <v>343</v>
      </c>
      <c r="F103" s="130">
        <v>1</v>
      </c>
      <c r="H103" s="129" t="s">
        <v>344</v>
      </c>
      <c r="I103" s="132">
        <v>1</v>
      </c>
    </row>
    <row r="104" spans="2:9">
      <c r="B104" s="126" t="s">
        <v>345</v>
      </c>
      <c r="C104" s="131">
        <v>1</v>
      </c>
      <c r="E104" s="126" t="s">
        <v>346</v>
      </c>
      <c r="F104" s="131">
        <v>1</v>
      </c>
      <c r="H104" s="126" t="s">
        <v>347</v>
      </c>
      <c r="I104" s="128">
        <v>1</v>
      </c>
    </row>
    <row r="105" spans="2:9">
      <c r="B105" s="129" t="s">
        <v>348</v>
      </c>
      <c r="C105" s="130">
        <v>1</v>
      </c>
      <c r="E105" s="129" t="s">
        <v>349</v>
      </c>
      <c r="F105" s="130">
        <v>2</v>
      </c>
      <c r="H105" s="129" t="s">
        <v>350</v>
      </c>
      <c r="I105" s="132">
        <v>1</v>
      </c>
    </row>
    <row r="106" spans="2:9">
      <c r="B106" s="126" t="s">
        <v>351</v>
      </c>
      <c r="C106" s="131">
        <v>2</v>
      </c>
      <c r="E106" s="126" t="s">
        <v>352</v>
      </c>
      <c r="F106" s="131">
        <v>2</v>
      </c>
      <c r="H106" s="126" t="s">
        <v>353</v>
      </c>
      <c r="I106" s="128">
        <v>2</v>
      </c>
    </row>
    <row r="107" spans="2:9">
      <c r="B107" s="129" t="s">
        <v>354</v>
      </c>
      <c r="C107" s="130">
        <v>1</v>
      </c>
      <c r="E107" s="129" t="s">
        <v>355</v>
      </c>
      <c r="F107" s="130">
        <v>4</v>
      </c>
      <c r="H107" s="129" t="s">
        <v>356</v>
      </c>
      <c r="I107" s="132">
        <v>1</v>
      </c>
    </row>
    <row r="108" spans="2:9">
      <c r="B108" s="126" t="s">
        <v>357</v>
      </c>
      <c r="C108" s="131">
        <v>2</v>
      </c>
      <c r="E108" s="126" t="s">
        <v>358</v>
      </c>
      <c r="F108" s="131">
        <v>3</v>
      </c>
      <c r="H108" s="126" t="s">
        <v>359</v>
      </c>
      <c r="I108" s="128">
        <v>1</v>
      </c>
    </row>
    <row r="109" spans="2:9">
      <c r="B109" s="129" t="s">
        <v>360</v>
      </c>
      <c r="C109" s="130">
        <v>4</v>
      </c>
      <c r="E109" s="129" t="s">
        <v>361</v>
      </c>
      <c r="F109" s="130">
        <v>2</v>
      </c>
      <c r="H109" s="129" t="s">
        <v>362</v>
      </c>
      <c r="I109" s="132">
        <v>2</v>
      </c>
    </row>
    <row r="110" spans="2:9" ht="12" thickBot="1">
      <c r="B110" s="137" t="s">
        <v>363</v>
      </c>
      <c r="C110" s="138">
        <v>2</v>
      </c>
      <c r="E110" s="126" t="s">
        <v>364</v>
      </c>
      <c r="F110" s="131">
        <v>2</v>
      </c>
      <c r="H110" s="126" t="s">
        <v>365</v>
      </c>
      <c r="I110" s="128">
        <v>4</v>
      </c>
    </row>
    <row r="111" spans="2:9" ht="12" thickBot="1">
      <c r="C111" s="626"/>
      <c r="E111" s="129" t="s">
        <v>366</v>
      </c>
      <c r="F111" s="130">
        <v>1</v>
      </c>
      <c r="H111" s="129" t="s">
        <v>367</v>
      </c>
      <c r="I111" s="132">
        <v>2</v>
      </c>
    </row>
    <row r="112" spans="2:9" ht="12.6" thickBot="1">
      <c r="B112" s="142" t="s">
        <v>122</v>
      </c>
      <c r="C112" s="125" t="s">
        <v>85</v>
      </c>
      <c r="E112" s="126" t="s">
        <v>368</v>
      </c>
      <c r="F112" s="131">
        <v>3</v>
      </c>
      <c r="H112" s="126" t="s">
        <v>369</v>
      </c>
      <c r="I112" s="128">
        <v>2</v>
      </c>
    </row>
    <row r="113" spans="2:9">
      <c r="B113" s="143" t="s">
        <v>370</v>
      </c>
      <c r="C113" s="131">
        <v>2</v>
      </c>
      <c r="E113" s="129" t="s">
        <v>371</v>
      </c>
      <c r="F113" s="130">
        <v>3</v>
      </c>
      <c r="H113" s="129" t="s">
        <v>372</v>
      </c>
      <c r="I113" s="132">
        <v>1</v>
      </c>
    </row>
    <row r="114" spans="2:9">
      <c r="B114" s="144" t="s">
        <v>373</v>
      </c>
      <c r="C114" s="130">
        <v>4</v>
      </c>
      <c r="E114" s="126" t="s">
        <v>374</v>
      </c>
      <c r="F114" s="131">
        <v>4</v>
      </c>
      <c r="H114" s="126" t="s">
        <v>375</v>
      </c>
      <c r="I114" s="128">
        <v>2</v>
      </c>
    </row>
    <row r="115" spans="2:9">
      <c r="B115" s="143" t="s">
        <v>376</v>
      </c>
      <c r="C115" s="131">
        <v>2</v>
      </c>
      <c r="E115" s="129" t="s">
        <v>377</v>
      </c>
      <c r="F115" s="130">
        <v>4</v>
      </c>
      <c r="H115" s="129" t="s">
        <v>378</v>
      </c>
      <c r="I115" s="132">
        <v>4</v>
      </c>
    </row>
    <row r="116" spans="2:9">
      <c r="B116" s="144" t="s">
        <v>379</v>
      </c>
      <c r="C116" s="130">
        <v>1</v>
      </c>
      <c r="E116" s="126" t="s">
        <v>380</v>
      </c>
      <c r="F116" s="131">
        <v>4</v>
      </c>
      <c r="H116" s="126" t="s">
        <v>381</v>
      </c>
      <c r="I116" s="128">
        <v>2</v>
      </c>
    </row>
    <row r="117" spans="2:9">
      <c r="B117" s="143" t="s">
        <v>382</v>
      </c>
      <c r="C117" s="131">
        <v>1</v>
      </c>
      <c r="E117" s="129" t="s">
        <v>383</v>
      </c>
      <c r="F117" s="130">
        <v>4</v>
      </c>
      <c r="H117" s="129" t="s">
        <v>384</v>
      </c>
      <c r="I117" s="132">
        <v>2</v>
      </c>
    </row>
    <row r="118" spans="2:9" ht="12.75" customHeight="1">
      <c r="B118" s="1596" t="s">
        <v>385</v>
      </c>
      <c r="C118" s="1584">
        <v>2</v>
      </c>
      <c r="E118" s="1590" t="s">
        <v>386</v>
      </c>
      <c r="F118" s="131">
        <v>1</v>
      </c>
      <c r="H118" s="145" t="s">
        <v>387</v>
      </c>
      <c r="I118" s="135">
        <v>2</v>
      </c>
    </row>
    <row r="119" spans="2:9">
      <c r="B119" s="1596"/>
      <c r="C119" s="1584"/>
      <c r="E119" s="1590"/>
      <c r="F119" s="131"/>
      <c r="H119" s="129" t="s">
        <v>388</v>
      </c>
      <c r="I119" s="132">
        <v>1</v>
      </c>
    </row>
    <row r="120" spans="2:9" ht="12.75" customHeight="1">
      <c r="B120" s="143" t="s">
        <v>389</v>
      </c>
      <c r="C120" s="131">
        <v>1</v>
      </c>
      <c r="E120" s="1583" t="s">
        <v>390</v>
      </c>
      <c r="F120" s="1584">
        <v>2</v>
      </c>
      <c r="H120" s="145" t="s">
        <v>391</v>
      </c>
      <c r="I120" s="135">
        <v>1</v>
      </c>
    </row>
    <row r="121" spans="2:9" ht="13.5" customHeight="1" thickBot="1">
      <c r="B121" s="146" t="s">
        <v>392</v>
      </c>
      <c r="C121" s="134">
        <v>1</v>
      </c>
      <c r="E121" s="1583"/>
      <c r="F121" s="1584"/>
      <c r="H121" s="1583" t="s">
        <v>393</v>
      </c>
      <c r="I121" s="132"/>
    </row>
    <row r="122" spans="2:9" ht="13.5" customHeight="1" thickBot="1">
      <c r="E122" s="1590" t="s">
        <v>394</v>
      </c>
      <c r="F122" s="1595">
        <v>1</v>
      </c>
      <c r="H122" s="1583"/>
      <c r="I122" s="132"/>
    </row>
    <row r="123" spans="2:9" ht="13.5" customHeight="1" thickBot="1">
      <c r="B123" s="628" t="s">
        <v>247</v>
      </c>
      <c r="C123" s="629" t="s">
        <v>85</v>
      </c>
      <c r="E123" s="1590"/>
      <c r="F123" s="1595"/>
      <c r="H123" s="1582" t="s">
        <v>395</v>
      </c>
      <c r="I123" s="1588">
        <v>1</v>
      </c>
    </row>
    <row r="124" spans="2:9" ht="12.75" customHeight="1">
      <c r="B124" s="1589" t="s">
        <v>396</v>
      </c>
      <c r="C124" s="1591">
        <v>2</v>
      </c>
      <c r="E124" s="129" t="s">
        <v>397</v>
      </c>
      <c r="F124" s="130">
        <v>2</v>
      </c>
      <c r="H124" s="1582"/>
      <c r="I124" s="1588"/>
    </row>
    <row r="125" spans="2:9">
      <c r="B125" s="1590"/>
      <c r="C125" s="1592"/>
      <c r="E125" s="126" t="s">
        <v>398</v>
      </c>
      <c r="F125" s="131">
        <v>2</v>
      </c>
      <c r="H125" s="129" t="s">
        <v>399</v>
      </c>
      <c r="I125" s="132">
        <v>2</v>
      </c>
    </row>
    <row r="126" spans="2:9" ht="12.75" customHeight="1">
      <c r="B126" s="129" t="s">
        <v>400</v>
      </c>
      <c r="C126" s="132">
        <v>4</v>
      </c>
      <c r="E126" s="1583" t="s">
        <v>401</v>
      </c>
      <c r="F126" s="1584">
        <v>4</v>
      </c>
      <c r="H126" s="145" t="s">
        <v>402</v>
      </c>
      <c r="I126" s="135">
        <v>2</v>
      </c>
    </row>
    <row r="127" spans="2:9" ht="12" thickBot="1">
      <c r="B127" s="137"/>
      <c r="C127" s="139"/>
      <c r="E127" s="1593"/>
      <c r="F127" s="1594"/>
      <c r="H127" s="137"/>
      <c r="I127" s="139"/>
    </row>
    <row r="128" spans="2:9" ht="12.6" thickBot="1">
      <c r="B128" s="122" t="s">
        <v>403</v>
      </c>
      <c r="C128" s="125" t="s">
        <v>85</v>
      </c>
      <c r="D128" s="522"/>
      <c r="E128" s="122" t="s">
        <v>404</v>
      </c>
      <c r="F128" s="125" t="s">
        <v>85</v>
      </c>
      <c r="G128" s="119"/>
      <c r="H128" s="122" t="s">
        <v>405</v>
      </c>
      <c r="I128" s="125" t="s">
        <v>85</v>
      </c>
    </row>
    <row r="129" spans="2:9" ht="12.75" customHeight="1">
      <c r="B129" s="145" t="s">
        <v>406</v>
      </c>
      <c r="C129" s="149">
        <v>1</v>
      </c>
      <c r="D129" s="117"/>
      <c r="E129" s="145" t="s">
        <v>407</v>
      </c>
      <c r="F129" s="149">
        <v>1</v>
      </c>
      <c r="G129" s="119"/>
      <c r="H129" s="1582" t="s">
        <v>408</v>
      </c>
      <c r="I129" s="1587">
        <v>3</v>
      </c>
    </row>
    <row r="130" spans="2:9">
      <c r="B130" s="129" t="s">
        <v>409</v>
      </c>
      <c r="C130" s="130">
        <v>1</v>
      </c>
      <c r="D130" s="117"/>
      <c r="E130" s="129" t="s">
        <v>410</v>
      </c>
      <c r="F130" s="130">
        <v>1</v>
      </c>
      <c r="G130" s="119"/>
      <c r="H130" s="1582"/>
      <c r="I130" s="1587"/>
    </row>
    <row r="131" spans="2:9" ht="12.75" customHeight="1">
      <c r="B131" s="145" t="s">
        <v>411</v>
      </c>
      <c r="C131" s="149">
        <v>1</v>
      </c>
      <c r="D131" s="117"/>
      <c r="E131" s="145" t="s">
        <v>412</v>
      </c>
      <c r="F131" s="149">
        <v>1</v>
      </c>
      <c r="G131" s="119"/>
      <c r="H131" s="1583" t="s">
        <v>413</v>
      </c>
      <c r="I131" s="1584">
        <v>4</v>
      </c>
    </row>
    <row r="132" spans="2:9">
      <c r="B132" s="129" t="s">
        <v>414</v>
      </c>
      <c r="C132" s="130">
        <v>1</v>
      </c>
      <c r="D132" s="117"/>
      <c r="E132" s="129" t="s">
        <v>415</v>
      </c>
      <c r="F132" s="130">
        <v>1</v>
      </c>
      <c r="G132" s="119"/>
      <c r="H132" s="1583"/>
      <c r="I132" s="1584"/>
    </row>
    <row r="133" spans="2:9" ht="12.75" customHeight="1">
      <c r="B133" s="145" t="s">
        <v>416</v>
      </c>
      <c r="C133" s="149">
        <v>1</v>
      </c>
      <c r="D133" s="117"/>
      <c r="E133" s="145" t="s">
        <v>417</v>
      </c>
      <c r="F133" s="149">
        <v>2</v>
      </c>
      <c r="G133" s="119"/>
      <c r="H133" s="1582" t="s">
        <v>418</v>
      </c>
      <c r="I133" s="149">
        <v>4</v>
      </c>
    </row>
    <row r="134" spans="2:9">
      <c r="B134" s="129" t="s">
        <v>419</v>
      </c>
      <c r="C134" s="130">
        <v>1</v>
      </c>
      <c r="D134" s="117"/>
      <c r="E134" s="129" t="s">
        <v>420</v>
      </c>
      <c r="F134" s="130">
        <v>1</v>
      </c>
      <c r="G134" s="119"/>
      <c r="H134" s="1582"/>
      <c r="I134" s="149"/>
    </row>
    <row r="135" spans="2:9">
      <c r="B135" s="145" t="s">
        <v>421</v>
      </c>
      <c r="C135" s="149">
        <v>1</v>
      </c>
      <c r="D135" s="117"/>
      <c r="E135" s="145" t="s">
        <v>422</v>
      </c>
      <c r="F135" s="149">
        <v>1</v>
      </c>
      <c r="G135" s="119"/>
      <c r="H135" s="129" t="s">
        <v>423</v>
      </c>
      <c r="I135" s="130">
        <v>4</v>
      </c>
    </row>
    <row r="136" spans="2:9" ht="12" thickBot="1">
      <c r="B136" s="129" t="s">
        <v>424</v>
      </c>
      <c r="C136" s="130">
        <v>2</v>
      </c>
      <c r="D136" s="117"/>
      <c r="E136" s="133" t="s">
        <v>425</v>
      </c>
      <c r="F136" s="134">
        <v>2</v>
      </c>
      <c r="G136" s="119"/>
      <c r="H136" s="145" t="s">
        <v>423</v>
      </c>
      <c r="I136" s="149">
        <v>4</v>
      </c>
    </row>
    <row r="137" spans="2:9" ht="12" thickBot="1">
      <c r="B137" s="145" t="s">
        <v>426</v>
      </c>
      <c r="C137" s="149">
        <v>2</v>
      </c>
      <c r="D137" s="117"/>
      <c r="E137" s="87"/>
      <c r="G137" s="119"/>
      <c r="H137" s="129" t="s">
        <v>427</v>
      </c>
      <c r="I137" s="130">
        <v>4</v>
      </c>
    </row>
    <row r="138" spans="2:9" ht="12" thickBot="1">
      <c r="B138" s="129" t="s">
        <v>428</v>
      </c>
      <c r="C138" s="130">
        <v>1</v>
      </c>
      <c r="D138" s="117"/>
      <c r="E138" s="147" t="s">
        <v>429</v>
      </c>
      <c r="F138" s="150" t="s">
        <v>85</v>
      </c>
      <c r="G138" s="119"/>
      <c r="H138" s="145" t="s">
        <v>430</v>
      </c>
      <c r="I138" s="149">
        <v>4</v>
      </c>
    </row>
    <row r="139" spans="2:9" ht="12.75" customHeight="1">
      <c r="B139" s="145" t="s">
        <v>431</v>
      </c>
      <c r="C139" s="149">
        <v>2</v>
      </c>
      <c r="D139" s="117"/>
      <c r="E139" s="145" t="s">
        <v>432</v>
      </c>
      <c r="F139" s="149">
        <v>3</v>
      </c>
      <c r="G139" s="119"/>
      <c r="H139" s="1583" t="s">
        <v>433</v>
      </c>
      <c r="I139" s="130">
        <v>3</v>
      </c>
    </row>
    <row r="140" spans="2:9">
      <c r="B140" s="129" t="s">
        <v>434</v>
      </c>
      <c r="C140" s="130">
        <v>2</v>
      </c>
      <c r="D140" s="117"/>
      <c r="E140" s="129" t="s">
        <v>435</v>
      </c>
      <c r="F140" s="130">
        <v>4</v>
      </c>
      <c r="G140" s="119"/>
      <c r="H140" s="1583"/>
      <c r="I140" s="130"/>
    </row>
    <row r="141" spans="2:9">
      <c r="B141" s="145" t="s">
        <v>436</v>
      </c>
      <c r="C141" s="149">
        <v>1</v>
      </c>
      <c r="D141" s="117"/>
      <c r="E141" s="145" t="s">
        <v>437</v>
      </c>
      <c r="F141" s="149">
        <v>2</v>
      </c>
      <c r="G141" s="119"/>
      <c r="H141" s="145" t="s">
        <v>438</v>
      </c>
      <c r="I141" s="149">
        <v>1</v>
      </c>
    </row>
    <row r="142" spans="2:9">
      <c r="B142" s="129" t="s">
        <v>439</v>
      </c>
      <c r="C142" s="130">
        <v>1</v>
      </c>
      <c r="D142" s="117"/>
      <c r="E142" s="129" t="s">
        <v>440</v>
      </c>
      <c r="F142" s="130">
        <v>1</v>
      </c>
      <c r="G142" s="119"/>
      <c r="H142" s="129" t="s">
        <v>441</v>
      </c>
      <c r="I142" s="130">
        <v>4</v>
      </c>
    </row>
    <row r="143" spans="2:9">
      <c r="B143" s="145" t="s">
        <v>442</v>
      </c>
      <c r="C143" s="149">
        <v>1</v>
      </c>
      <c r="D143" s="117"/>
      <c r="E143" s="145" t="s">
        <v>443</v>
      </c>
      <c r="F143" s="149">
        <v>1</v>
      </c>
      <c r="G143" s="119"/>
      <c r="H143" s="145" t="s">
        <v>444</v>
      </c>
      <c r="I143" s="149">
        <v>2</v>
      </c>
    </row>
    <row r="144" spans="2:9">
      <c r="B144" s="129" t="s">
        <v>445</v>
      </c>
      <c r="C144" s="130">
        <v>1</v>
      </c>
      <c r="D144" s="117"/>
      <c r="E144" s="129" t="s">
        <v>446</v>
      </c>
      <c r="F144" s="130">
        <v>2</v>
      </c>
      <c r="G144" s="119"/>
      <c r="H144" s="129" t="s">
        <v>447</v>
      </c>
      <c r="I144" s="130">
        <v>1</v>
      </c>
    </row>
    <row r="145" spans="2:9">
      <c r="B145" s="145" t="s">
        <v>448</v>
      </c>
      <c r="C145" s="149">
        <v>1</v>
      </c>
      <c r="D145" s="117"/>
      <c r="E145" s="145" t="s">
        <v>449</v>
      </c>
      <c r="F145" s="149">
        <v>2</v>
      </c>
      <c r="G145" s="119"/>
      <c r="H145" s="145" t="s">
        <v>450</v>
      </c>
      <c r="I145" s="149">
        <v>2</v>
      </c>
    </row>
    <row r="146" spans="2:9">
      <c r="B146" s="129" t="s">
        <v>451</v>
      </c>
      <c r="C146" s="130">
        <v>1</v>
      </c>
      <c r="D146" s="117"/>
      <c r="E146" s="129" t="s">
        <v>452</v>
      </c>
      <c r="F146" s="130">
        <v>2</v>
      </c>
      <c r="G146" s="119"/>
      <c r="H146" s="129" t="s">
        <v>453</v>
      </c>
      <c r="I146" s="130">
        <v>1</v>
      </c>
    </row>
    <row r="147" spans="2:9">
      <c r="B147" s="145" t="s">
        <v>454</v>
      </c>
      <c r="C147" s="149">
        <v>1</v>
      </c>
      <c r="D147" s="117"/>
      <c r="E147" s="145" t="s">
        <v>455</v>
      </c>
      <c r="F147" s="149">
        <v>1</v>
      </c>
      <c r="G147" s="119"/>
      <c r="H147" s="145" t="s">
        <v>456</v>
      </c>
      <c r="I147" s="149">
        <v>4</v>
      </c>
    </row>
    <row r="148" spans="2:9" ht="12.75" customHeight="1">
      <c r="B148" s="1586" t="s">
        <v>457</v>
      </c>
      <c r="C148" s="1584">
        <v>2</v>
      </c>
      <c r="D148" s="117"/>
      <c r="E148" s="129" t="s">
        <v>458</v>
      </c>
      <c r="F148" s="130">
        <v>1</v>
      </c>
      <c r="G148" s="119"/>
      <c r="H148" s="129" t="s">
        <v>459</v>
      </c>
      <c r="I148" s="130">
        <v>1</v>
      </c>
    </row>
    <row r="149" spans="2:9">
      <c r="B149" s="1586"/>
      <c r="C149" s="1584"/>
      <c r="D149" s="117"/>
      <c r="E149" s="145" t="s">
        <v>460</v>
      </c>
      <c r="F149" s="149">
        <v>3</v>
      </c>
      <c r="G149" s="119"/>
      <c r="H149" s="145" t="s">
        <v>461</v>
      </c>
      <c r="I149" s="149">
        <v>2</v>
      </c>
    </row>
    <row r="150" spans="2:9">
      <c r="B150" s="145" t="s">
        <v>462</v>
      </c>
      <c r="C150" s="149">
        <v>2</v>
      </c>
      <c r="D150" s="117"/>
      <c r="E150" s="129" t="s">
        <v>463</v>
      </c>
      <c r="F150" s="130">
        <v>2</v>
      </c>
      <c r="G150" s="119"/>
      <c r="H150" s="129" t="s">
        <v>464</v>
      </c>
      <c r="I150" s="130">
        <v>4</v>
      </c>
    </row>
    <row r="151" spans="2:9" ht="12" thickBot="1">
      <c r="B151" s="129" t="s">
        <v>465</v>
      </c>
      <c r="C151" s="130">
        <v>2</v>
      </c>
      <c r="D151" s="117"/>
      <c r="E151" s="145" t="s">
        <v>466</v>
      </c>
      <c r="F151" s="149">
        <v>1</v>
      </c>
      <c r="G151" s="119"/>
      <c r="H151" s="148" t="s">
        <v>467</v>
      </c>
      <c r="I151" s="151">
        <v>1</v>
      </c>
    </row>
    <row r="152" spans="2:9" ht="12" thickBot="1">
      <c r="B152" s="145" t="s">
        <v>468</v>
      </c>
      <c r="C152" s="149">
        <v>2</v>
      </c>
      <c r="D152" s="117"/>
      <c r="E152" s="129" t="s">
        <v>469</v>
      </c>
      <c r="F152" s="130">
        <v>1</v>
      </c>
      <c r="G152" s="119"/>
    </row>
    <row r="153" spans="2:9" ht="12.6" thickBot="1">
      <c r="B153" s="129" t="s">
        <v>470</v>
      </c>
      <c r="C153" s="130">
        <v>4</v>
      </c>
      <c r="D153" s="117"/>
      <c r="E153" s="145" t="s">
        <v>471</v>
      </c>
      <c r="F153" s="149">
        <v>1</v>
      </c>
      <c r="G153" s="119"/>
      <c r="H153" s="122" t="s">
        <v>472</v>
      </c>
      <c r="I153" s="125" t="s">
        <v>85</v>
      </c>
    </row>
    <row r="154" spans="2:9">
      <c r="B154" s="145" t="s">
        <v>473</v>
      </c>
      <c r="C154" s="149">
        <v>4</v>
      </c>
      <c r="D154" s="117"/>
      <c r="E154" s="129" t="s">
        <v>474</v>
      </c>
      <c r="F154" s="130">
        <v>2</v>
      </c>
      <c r="G154" s="119"/>
      <c r="H154" s="145" t="s">
        <v>475</v>
      </c>
      <c r="I154" s="149">
        <v>1</v>
      </c>
    </row>
    <row r="155" spans="2:9" ht="12" thickBot="1">
      <c r="B155" s="129" t="s">
        <v>476</v>
      </c>
      <c r="C155" s="130">
        <v>2</v>
      </c>
      <c r="D155" s="117"/>
      <c r="E155" s="148" t="s">
        <v>477</v>
      </c>
      <c r="F155" s="151">
        <v>4</v>
      </c>
      <c r="G155" s="119"/>
      <c r="H155" s="129" t="s">
        <v>478</v>
      </c>
      <c r="I155" s="130">
        <v>4</v>
      </c>
    </row>
    <row r="156" spans="2:9" ht="12" thickBot="1">
      <c r="B156" s="145" t="s">
        <v>479</v>
      </c>
      <c r="C156" s="149">
        <v>1</v>
      </c>
      <c r="D156" s="117"/>
      <c r="E156" s="87"/>
      <c r="G156" s="119"/>
      <c r="H156" s="145" t="s">
        <v>480</v>
      </c>
      <c r="I156" s="149">
        <v>2</v>
      </c>
    </row>
    <row r="157" spans="2:9" ht="12.6" thickBot="1">
      <c r="B157" s="129" t="s">
        <v>481</v>
      </c>
      <c r="C157" s="130">
        <v>2</v>
      </c>
      <c r="D157" s="117"/>
      <c r="E157" s="140" t="s">
        <v>482</v>
      </c>
      <c r="F157" s="125" t="s">
        <v>85</v>
      </c>
      <c r="G157" s="119"/>
      <c r="H157" s="129" t="s">
        <v>483</v>
      </c>
      <c r="I157" s="130">
        <v>1</v>
      </c>
    </row>
    <row r="158" spans="2:9" ht="12.75" customHeight="1">
      <c r="B158" s="145" t="s">
        <v>484</v>
      </c>
      <c r="C158" s="149">
        <v>2</v>
      </c>
      <c r="D158" s="117"/>
      <c r="E158" s="152" t="s">
        <v>485</v>
      </c>
      <c r="F158" s="149">
        <v>1</v>
      </c>
      <c r="G158" s="119"/>
      <c r="H158" s="1582" t="s">
        <v>486</v>
      </c>
      <c r="I158" s="1585">
        <v>4</v>
      </c>
    </row>
    <row r="159" spans="2:9">
      <c r="B159" s="129" t="s">
        <v>487</v>
      </c>
      <c r="C159" s="130">
        <v>2</v>
      </c>
      <c r="D159" s="117"/>
      <c r="E159" s="129" t="s">
        <v>488</v>
      </c>
      <c r="F159" s="130">
        <v>1</v>
      </c>
      <c r="G159" s="119"/>
      <c r="H159" s="1582"/>
      <c r="I159" s="1585"/>
    </row>
    <row r="160" spans="2:9">
      <c r="B160" s="145" t="s">
        <v>489</v>
      </c>
      <c r="C160" s="149">
        <v>2</v>
      </c>
      <c r="D160" s="117"/>
      <c r="E160" s="145" t="s">
        <v>490</v>
      </c>
      <c r="F160" s="149">
        <v>1</v>
      </c>
      <c r="G160" s="119"/>
      <c r="H160" s="129" t="s">
        <v>491</v>
      </c>
      <c r="I160" s="130">
        <v>1</v>
      </c>
    </row>
    <row r="161" spans="2:9">
      <c r="B161" s="129" t="s">
        <v>492</v>
      </c>
      <c r="C161" s="130">
        <v>1</v>
      </c>
      <c r="D161" s="117"/>
      <c r="E161" s="129" t="s">
        <v>493</v>
      </c>
      <c r="F161" s="130">
        <v>1</v>
      </c>
      <c r="G161" s="119"/>
      <c r="H161" s="145" t="s">
        <v>494</v>
      </c>
      <c r="I161" s="149">
        <v>2</v>
      </c>
    </row>
    <row r="162" spans="2:9">
      <c r="B162" s="145" t="s">
        <v>495</v>
      </c>
      <c r="C162" s="149">
        <v>1</v>
      </c>
      <c r="D162" s="117"/>
      <c r="E162" s="145" t="s">
        <v>496</v>
      </c>
      <c r="F162" s="149">
        <v>1</v>
      </c>
      <c r="G162" s="119"/>
      <c r="H162" s="129" t="s">
        <v>497</v>
      </c>
      <c r="I162" s="130">
        <v>2</v>
      </c>
    </row>
    <row r="163" spans="2:9">
      <c r="B163" s="129" t="s">
        <v>498</v>
      </c>
      <c r="C163" s="130">
        <v>4</v>
      </c>
      <c r="D163" s="117"/>
      <c r="E163" s="129" t="s">
        <v>499</v>
      </c>
      <c r="F163" s="130">
        <v>1</v>
      </c>
      <c r="G163" s="119"/>
      <c r="H163" s="145" t="s">
        <v>500</v>
      </c>
      <c r="I163" s="149">
        <v>1</v>
      </c>
    </row>
    <row r="164" spans="2:9">
      <c r="B164" s="145" t="s">
        <v>501</v>
      </c>
      <c r="C164" s="149">
        <v>2</v>
      </c>
      <c r="D164" s="117"/>
      <c r="E164" s="145" t="s">
        <v>502</v>
      </c>
      <c r="F164" s="149">
        <v>2</v>
      </c>
      <c r="G164" s="119"/>
      <c r="H164" s="129" t="s">
        <v>503</v>
      </c>
      <c r="I164" s="130">
        <v>1</v>
      </c>
    </row>
    <row r="165" spans="2:9" ht="12" thickBot="1">
      <c r="B165" s="129" t="s">
        <v>504</v>
      </c>
      <c r="C165" s="130">
        <v>2</v>
      </c>
      <c r="D165" s="117"/>
      <c r="E165" s="133" t="s">
        <v>505</v>
      </c>
      <c r="F165" s="134">
        <v>1</v>
      </c>
      <c r="G165" s="119"/>
      <c r="H165" s="145" t="s">
        <v>506</v>
      </c>
      <c r="I165" s="149">
        <v>1</v>
      </c>
    </row>
    <row r="166" spans="2:9" ht="12" thickBot="1">
      <c r="B166" s="145" t="s">
        <v>507</v>
      </c>
      <c r="C166" s="149">
        <v>4</v>
      </c>
      <c r="D166" s="117"/>
      <c r="E166" s="87"/>
      <c r="G166" s="119"/>
      <c r="H166" s="129" t="s">
        <v>508</v>
      </c>
      <c r="I166" s="130">
        <v>1</v>
      </c>
    </row>
    <row r="167" spans="2:9" ht="12.6" thickBot="1">
      <c r="B167" s="129" t="s">
        <v>509</v>
      </c>
      <c r="C167" s="130">
        <v>1</v>
      </c>
      <c r="D167" s="117"/>
      <c r="E167" s="122" t="s">
        <v>405</v>
      </c>
      <c r="F167" s="125" t="s">
        <v>85</v>
      </c>
      <c r="G167" s="119"/>
      <c r="H167" s="145" t="s">
        <v>510</v>
      </c>
      <c r="I167" s="149">
        <v>4</v>
      </c>
    </row>
    <row r="168" spans="2:9">
      <c r="B168" s="145" t="s">
        <v>511</v>
      </c>
      <c r="C168" s="149">
        <v>2</v>
      </c>
      <c r="D168" s="117"/>
      <c r="E168" s="145" t="s">
        <v>512</v>
      </c>
      <c r="F168" s="149">
        <v>1</v>
      </c>
      <c r="G168" s="119"/>
      <c r="H168" s="129" t="s">
        <v>513</v>
      </c>
      <c r="I168" s="130">
        <v>1</v>
      </c>
    </row>
    <row r="169" spans="2:9">
      <c r="B169" s="129" t="s">
        <v>514</v>
      </c>
      <c r="C169" s="130">
        <v>2</v>
      </c>
      <c r="D169" s="117"/>
      <c r="E169" s="129" t="s">
        <v>515</v>
      </c>
      <c r="F169" s="130">
        <v>1</v>
      </c>
      <c r="G169" s="119"/>
      <c r="H169" s="145" t="s">
        <v>516</v>
      </c>
      <c r="I169" s="149">
        <v>2</v>
      </c>
    </row>
    <row r="170" spans="2:9" ht="12.75" customHeight="1">
      <c r="B170" s="1582" t="s">
        <v>517</v>
      </c>
      <c r="C170" s="1585">
        <v>2</v>
      </c>
      <c r="D170" s="117"/>
      <c r="E170" s="145" t="s">
        <v>518</v>
      </c>
      <c r="F170" s="149">
        <v>1</v>
      </c>
      <c r="G170" s="119"/>
      <c r="H170" s="129" t="s">
        <v>519</v>
      </c>
      <c r="I170" s="130">
        <v>1</v>
      </c>
    </row>
    <row r="171" spans="2:9">
      <c r="B171" s="1582"/>
      <c r="C171" s="1585"/>
      <c r="D171" s="117"/>
      <c r="E171" s="129" t="s">
        <v>520</v>
      </c>
      <c r="F171" s="130">
        <v>2</v>
      </c>
      <c r="G171" s="119"/>
      <c r="H171" s="145" t="s">
        <v>521</v>
      </c>
      <c r="I171" s="149">
        <v>4</v>
      </c>
    </row>
    <row r="172" spans="2:9">
      <c r="B172" s="129" t="s">
        <v>522</v>
      </c>
      <c r="C172" s="130">
        <v>2</v>
      </c>
      <c r="D172" s="117"/>
      <c r="E172" s="145" t="s">
        <v>523</v>
      </c>
      <c r="F172" s="149">
        <v>1</v>
      </c>
      <c r="G172" s="119"/>
      <c r="H172" s="129" t="s">
        <v>524</v>
      </c>
      <c r="I172" s="130">
        <v>2</v>
      </c>
    </row>
    <row r="173" spans="2:9" ht="12" thickBot="1">
      <c r="B173" s="145" t="s">
        <v>525</v>
      </c>
      <c r="C173" s="149">
        <v>4</v>
      </c>
      <c r="D173" s="117"/>
      <c r="E173" s="129" t="s">
        <v>526</v>
      </c>
      <c r="F173" s="130">
        <v>2</v>
      </c>
      <c r="G173" s="119"/>
      <c r="H173" s="148" t="s">
        <v>527</v>
      </c>
      <c r="I173" s="151">
        <v>1</v>
      </c>
    </row>
    <row r="174" spans="2:9" ht="12" thickBot="1">
      <c r="B174" s="129" t="s">
        <v>528</v>
      </c>
      <c r="C174" s="130">
        <v>1</v>
      </c>
      <c r="D174" s="117"/>
      <c r="E174" s="145" t="s">
        <v>529</v>
      </c>
      <c r="F174" s="149">
        <v>2</v>
      </c>
      <c r="G174" s="119"/>
    </row>
    <row r="175" spans="2:9" ht="12.75" customHeight="1" thickBot="1">
      <c r="B175" s="145" t="s">
        <v>530</v>
      </c>
      <c r="C175" s="149">
        <v>1</v>
      </c>
      <c r="D175" s="117"/>
      <c r="E175" s="1583" t="s">
        <v>531</v>
      </c>
      <c r="F175" s="1584">
        <v>2</v>
      </c>
      <c r="G175" s="119"/>
      <c r="H175" s="147" t="s">
        <v>532</v>
      </c>
      <c r="I175" s="150" t="s">
        <v>85</v>
      </c>
    </row>
    <row r="176" spans="2:9" ht="12" thickBot="1">
      <c r="B176" s="133" t="s">
        <v>533</v>
      </c>
      <c r="C176" s="134">
        <v>4</v>
      </c>
      <c r="D176" s="117"/>
      <c r="E176" s="1583"/>
      <c r="F176" s="1584"/>
      <c r="G176" s="119"/>
      <c r="H176" s="145" t="s">
        <v>534</v>
      </c>
      <c r="I176" s="149">
        <v>2</v>
      </c>
    </row>
    <row r="177" spans="2:9" ht="12" thickBot="1">
      <c r="D177" s="117"/>
      <c r="E177" s="145" t="s">
        <v>535</v>
      </c>
      <c r="F177" s="149">
        <v>2</v>
      </c>
      <c r="G177" s="119"/>
      <c r="H177" s="129" t="s">
        <v>536</v>
      </c>
      <c r="I177" s="130">
        <v>1</v>
      </c>
    </row>
    <row r="178" spans="2:9" ht="12.6" thickBot="1">
      <c r="B178" s="122" t="s">
        <v>404</v>
      </c>
      <c r="C178" s="125" t="s">
        <v>85</v>
      </c>
      <c r="D178" s="117"/>
      <c r="E178" s="129" t="s">
        <v>537</v>
      </c>
      <c r="F178" s="130">
        <v>3</v>
      </c>
      <c r="G178" s="119"/>
      <c r="H178" s="145" t="s">
        <v>538</v>
      </c>
      <c r="I178" s="149">
        <v>1</v>
      </c>
    </row>
    <row r="179" spans="2:9" ht="12" thickBot="1">
      <c r="B179" s="148" t="s">
        <v>539</v>
      </c>
      <c r="C179" s="151">
        <v>1</v>
      </c>
      <c r="D179" s="117"/>
      <c r="E179" s="148" t="s">
        <v>540</v>
      </c>
      <c r="F179" s="151">
        <v>3</v>
      </c>
      <c r="G179" s="119"/>
      <c r="H179" s="137"/>
      <c r="I179" s="138"/>
    </row>
    <row r="180" spans="2:9">
      <c r="D180" s="87"/>
      <c r="E180" s="87"/>
    </row>
    <row r="181" spans="2:9">
      <c r="D181" s="87"/>
      <c r="E181" s="87"/>
    </row>
    <row r="182" spans="2:9">
      <c r="D182" s="87"/>
      <c r="E182" s="87"/>
    </row>
    <row r="183" spans="2:9">
      <c r="D183" s="87"/>
      <c r="E183" s="87"/>
    </row>
    <row r="184" spans="2:9">
      <c r="D184" s="87"/>
      <c r="E184" s="87"/>
    </row>
    <row r="185" spans="2:9">
      <c r="D185" s="87"/>
      <c r="E185" s="87"/>
    </row>
    <row r="186" spans="2:9">
      <c r="D186" s="87"/>
      <c r="E186" s="87"/>
    </row>
    <row r="187" spans="2:9">
      <c r="D187" s="87"/>
      <c r="E187" s="87"/>
    </row>
    <row r="188" spans="2:9">
      <c r="D188" s="87"/>
      <c r="E188" s="87"/>
    </row>
    <row r="189" spans="2:9">
      <c r="D189" s="87"/>
      <c r="E189" s="87"/>
    </row>
    <row r="190" spans="2:9">
      <c r="D190" s="87"/>
      <c r="E190" s="87"/>
    </row>
    <row r="191" spans="2:9">
      <c r="D191" s="87"/>
      <c r="E191" s="87"/>
    </row>
    <row r="192" spans="2:9">
      <c r="D192" s="87"/>
      <c r="E192" s="87"/>
    </row>
    <row r="193" spans="4:5">
      <c r="D193" s="87"/>
      <c r="E193" s="87"/>
    </row>
    <row r="194" spans="4:5">
      <c r="D194" s="87"/>
      <c r="E194" s="87"/>
    </row>
    <row r="195" spans="4:5">
      <c r="D195" s="87"/>
      <c r="E195" s="87"/>
    </row>
    <row r="196" spans="4:5">
      <c r="D196" s="87"/>
      <c r="E196" s="87"/>
    </row>
    <row r="197" spans="4:5">
      <c r="D197" s="87"/>
      <c r="E197" s="87"/>
    </row>
    <row r="198" spans="4:5">
      <c r="D198" s="87"/>
      <c r="E198" s="87"/>
    </row>
    <row r="199" spans="4:5">
      <c r="D199" s="87"/>
      <c r="E199" s="87"/>
    </row>
    <row r="200" spans="4:5">
      <c r="D200" s="87"/>
      <c r="E200" s="87"/>
    </row>
    <row r="201" spans="4:5">
      <c r="D201" s="87"/>
      <c r="E201" s="87"/>
    </row>
    <row r="202" spans="4:5">
      <c r="D202" s="87"/>
      <c r="E202" s="87"/>
    </row>
    <row r="203" spans="4:5">
      <c r="D203" s="87"/>
      <c r="E203" s="87"/>
    </row>
    <row r="204" spans="4:5">
      <c r="D204" s="87"/>
      <c r="E204" s="87"/>
    </row>
    <row r="205" spans="4:5">
      <c r="D205" s="87"/>
      <c r="E205" s="87"/>
    </row>
    <row r="206" spans="4:5">
      <c r="D206" s="87"/>
      <c r="E206" s="87"/>
    </row>
    <row r="207" spans="4:5">
      <c r="D207" s="87"/>
      <c r="E207" s="87"/>
    </row>
    <row r="208" spans="4:5">
      <c r="D208" s="87"/>
      <c r="E208" s="87"/>
    </row>
    <row r="209" spans="4:5">
      <c r="D209" s="87"/>
      <c r="E209" s="87"/>
    </row>
    <row r="210" spans="4:5">
      <c r="D210" s="87"/>
      <c r="E210" s="87"/>
    </row>
    <row r="211" spans="4:5">
      <c r="D211" s="87"/>
      <c r="E211" s="87"/>
    </row>
    <row r="212" spans="4:5">
      <c r="D212" s="87"/>
      <c r="E212" s="87"/>
    </row>
    <row r="213" spans="4:5">
      <c r="D213" s="87"/>
      <c r="E213" s="87"/>
    </row>
    <row r="214" spans="4:5">
      <c r="D214" s="87"/>
      <c r="E214" s="87"/>
    </row>
    <row r="215" spans="4:5">
      <c r="D215" s="87"/>
      <c r="E215" s="87"/>
    </row>
    <row r="216" spans="4:5">
      <c r="D216" s="87"/>
      <c r="E216" s="87"/>
    </row>
    <row r="217" spans="4:5">
      <c r="D217" s="87"/>
      <c r="E217" s="87"/>
    </row>
    <row r="218" spans="4:5">
      <c r="D218" s="87"/>
      <c r="E218" s="87"/>
    </row>
    <row r="219" spans="4:5">
      <c r="D219" s="87"/>
      <c r="E219" s="87"/>
    </row>
    <row r="220" spans="4:5">
      <c r="D220" s="87"/>
      <c r="E220" s="87"/>
    </row>
    <row r="221" spans="4:5">
      <c r="D221" s="87"/>
      <c r="E221" s="87"/>
    </row>
    <row r="222" spans="4:5">
      <c r="D222" s="87"/>
      <c r="E222" s="87"/>
    </row>
    <row r="223" spans="4:5">
      <c r="D223" s="87"/>
      <c r="E223" s="87"/>
    </row>
    <row r="224" spans="4:5">
      <c r="D224" s="87"/>
      <c r="E224" s="87"/>
    </row>
    <row r="225" spans="4:5">
      <c r="D225" s="87"/>
      <c r="E225" s="87"/>
    </row>
    <row r="226" spans="4:5">
      <c r="D226" s="87"/>
      <c r="E226" s="87"/>
    </row>
    <row r="227" spans="4:5">
      <c r="D227" s="87"/>
      <c r="E227" s="87"/>
    </row>
    <row r="228" spans="4:5">
      <c r="D228" s="87"/>
      <c r="E228" s="87"/>
    </row>
    <row r="229" spans="4:5">
      <c r="D229" s="87"/>
      <c r="E229" s="87"/>
    </row>
    <row r="230" spans="4:5">
      <c r="D230" s="87"/>
      <c r="E230" s="87"/>
    </row>
    <row r="231" spans="4:5">
      <c r="D231" s="87"/>
      <c r="E231" s="87"/>
    </row>
    <row r="232" spans="4:5">
      <c r="D232" s="87"/>
      <c r="E232" s="87"/>
    </row>
    <row r="233" spans="4:5">
      <c r="D233" s="87"/>
      <c r="E233" s="87"/>
    </row>
    <row r="234" spans="4:5">
      <c r="D234" s="87"/>
      <c r="E234" s="87"/>
    </row>
    <row r="235" spans="4:5">
      <c r="D235" s="87"/>
      <c r="E235" s="87"/>
    </row>
    <row r="236" spans="4:5">
      <c r="D236" s="87"/>
      <c r="E236" s="87"/>
    </row>
    <row r="237" spans="4:5">
      <c r="D237" s="87"/>
      <c r="E237" s="87"/>
    </row>
    <row r="238" spans="4:5">
      <c r="D238" s="87"/>
      <c r="E238" s="87"/>
    </row>
    <row r="239" spans="4:5">
      <c r="D239" s="87"/>
      <c r="E239" s="87"/>
    </row>
    <row r="240" spans="4:5">
      <c r="D240" s="87"/>
      <c r="E240" s="87"/>
    </row>
    <row r="241" spans="4:5">
      <c r="D241" s="87"/>
      <c r="E241" s="87"/>
    </row>
    <row r="242" spans="4:5">
      <c r="D242" s="87"/>
      <c r="E242" s="87"/>
    </row>
    <row r="243" spans="4:5">
      <c r="D243" s="87"/>
      <c r="E243" s="87"/>
    </row>
    <row r="244" spans="4:5">
      <c r="D244" s="87"/>
      <c r="E244" s="87"/>
    </row>
    <row r="245" spans="4:5">
      <c r="D245" s="87"/>
      <c r="E245" s="87"/>
    </row>
    <row r="246" spans="4:5">
      <c r="D246" s="87"/>
      <c r="E246" s="87"/>
    </row>
    <row r="247" spans="4:5">
      <c r="D247" s="87"/>
      <c r="E247" s="87"/>
    </row>
    <row r="248" spans="4:5">
      <c r="D248" s="87"/>
      <c r="E248" s="87"/>
    </row>
    <row r="249" spans="4:5">
      <c r="D249" s="87"/>
      <c r="E249" s="87"/>
    </row>
    <row r="250" spans="4:5">
      <c r="D250" s="87"/>
      <c r="E250" s="87"/>
    </row>
    <row r="251" spans="4:5">
      <c r="D251" s="87"/>
      <c r="E251" s="87"/>
    </row>
    <row r="252" spans="4:5">
      <c r="D252" s="87"/>
      <c r="E252" s="87"/>
    </row>
    <row r="253" spans="4:5">
      <c r="D253" s="87"/>
      <c r="E253" s="87"/>
    </row>
    <row r="254" spans="4:5">
      <c r="D254" s="87"/>
      <c r="E254" s="87"/>
    </row>
    <row r="255" spans="4:5">
      <c r="D255" s="87"/>
      <c r="E255" s="87"/>
    </row>
    <row r="256" spans="4:5">
      <c r="D256" s="87"/>
      <c r="E256" s="87"/>
    </row>
    <row r="257" spans="4:5">
      <c r="D257" s="87"/>
      <c r="E257" s="87"/>
    </row>
    <row r="258" spans="4:5">
      <c r="D258" s="87"/>
      <c r="E258" s="87"/>
    </row>
    <row r="259" spans="4:5">
      <c r="D259" s="87"/>
      <c r="E259" s="87"/>
    </row>
    <row r="260" spans="4:5">
      <c r="D260" s="87"/>
      <c r="E260" s="87"/>
    </row>
    <row r="261" spans="4:5">
      <c r="D261" s="87"/>
      <c r="E261" s="87"/>
    </row>
    <row r="262" spans="4:5">
      <c r="D262" s="87"/>
      <c r="E262" s="87"/>
    </row>
    <row r="263" spans="4:5">
      <c r="D263" s="87"/>
      <c r="E263" s="87"/>
    </row>
    <row r="264" spans="4:5">
      <c r="D264" s="87"/>
      <c r="E264" s="87"/>
    </row>
    <row r="265" spans="4:5">
      <c r="D265" s="87"/>
      <c r="E265" s="87"/>
    </row>
    <row r="266" spans="4:5">
      <c r="D266" s="87"/>
      <c r="E266" s="87"/>
    </row>
    <row r="267" spans="4:5">
      <c r="D267" s="87"/>
      <c r="E267" s="87"/>
    </row>
    <row r="268" spans="4:5">
      <c r="D268" s="87"/>
      <c r="E268" s="87"/>
    </row>
    <row r="269" spans="4:5">
      <c r="D269" s="87"/>
      <c r="E269" s="87"/>
    </row>
    <row r="270" spans="4:5">
      <c r="D270" s="87"/>
      <c r="E270" s="87"/>
    </row>
    <row r="271" spans="4:5">
      <c r="D271" s="87"/>
      <c r="E271" s="87"/>
    </row>
    <row r="272" spans="4:5">
      <c r="D272" s="87"/>
      <c r="E272" s="87"/>
    </row>
    <row r="273" spans="4:5">
      <c r="D273" s="87"/>
      <c r="E273" s="87"/>
    </row>
    <row r="274" spans="4:5">
      <c r="D274" s="87"/>
      <c r="E274" s="87"/>
    </row>
    <row r="275" spans="4:5">
      <c r="D275" s="87"/>
      <c r="E275" s="87"/>
    </row>
    <row r="276" spans="4:5">
      <c r="D276" s="87"/>
      <c r="E276" s="87"/>
    </row>
    <row r="277" spans="4:5">
      <c r="D277" s="87"/>
      <c r="E277" s="87"/>
    </row>
    <row r="278" spans="4:5">
      <c r="D278" s="87"/>
      <c r="E278" s="87"/>
    </row>
    <row r="279" spans="4:5">
      <c r="D279" s="87"/>
      <c r="E279" s="87"/>
    </row>
    <row r="280" spans="4:5">
      <c r="D280" s="87"/>
      <c r="E280" s="87"/>
    </row>
    <row r="281" spans="4:5">
      <c r="D281" s="87"/>
      <c r="E281" s="87"/>
    </row>
    <row r="282" spans="4:5">
      <c r="D282" s="87"/>
      <c r="E282" s="87"/>
    </row>
    <row r="283" spans="4:5">
      <c r="D283" s="87"/>
      <c r="E283" s="87"/>
    </row>
    <row r="284" spans="4:5">
      <c r="D284" s="87"/>
      <c r="E284" s="87"/>
    </row>
    <row r="285" spans="4:5">
      <c r="D285" s="87"/>
      <c r="E285" s="87"/>
    </row>
    <row r="286" spans="4:5">
      <c r="D286" s="87"/>
      <c r="E286" s="87"/>
    </row>
    <row r="287" spans="4:5">
      <c r="D287" s="87"/>
      <c r="E287" s="87"/>
    </row>
    <row r="288" spans="4:5">
      <c r="D288" s="87"/>
      <c r="E288" s="87"/>
    </row>
    <row r="289" spans="4:5">
      <c r="D289" s="87"/>
      <c r="E289" s="87"/>
    </row>
    <row r="290" spans="4:5">
      <c r="D290" s="87"/>
      <c r="E290" s="87"/>
    </row>
    <row r="291" spans="4:5">
      <c r="D291" s="87"/>
      <c r="E291" s="87"/>
    </row>
    <row r="292" spans="4:5">
      <c r="D292" s="87"/>
      <c r="E292" s="87"/>
    </row>
    <row r="293" spans="4:5">
      <c r="D293" s="87"/>
      <c r="E293" s="87"/>
    </row>
    <row r="294" spans="4:5">
      <c r="D294" s="87"/>
      <c r="E294" s="87"/>
    </row>
    <row r="295" spans="4:5">
      <c r="D295" s="87"/>
      <c r="E295" s="87"/>
    </row>
    <row r="296" spans="4:5">
      <c r="D296" s="87"/>
      <c r="E296" s="87"/>
    </row>
    <row r="297" spans="4:5">
      <c r="D297" s="87"/>
      <c r="E297" s="87"/>
    </row>
    <row r="298" spans="4:5">
      <c r="D298" s="87"/>
      <c r="E298" s="87"/>
    </row>
    <row r="299" spans="4:5">
      <c r="D299" s="87"/>
      <c r="E299" s="87"/>
    </row>
    <row r="300" spans="4:5">
      <c r="D300" s="87"/>
      <c r="E300" s="87"/>
    </row>
    <row r="301" spans="4:5">
      <c r="D301" s="87"/>
      <c r="E301" s="87"/>
    </row>
    <row r="302" spans="4:5">
      <c r="D302" s="87"/>
      <c r="E302" s="87"/>
    </row>
    <row r="303" spans="4:5">
      <c r="D303" s="87"/>
      <c r="E303" s="87"/>
    </row>
    <row r="304" spans="4:5">
      <c r="D304" s="87"/>
      <c r="E304" s="87"/>
    </row>
    <row r="305" spans="4:5">
      <c r="D305" s="87"/>
      <c r="E305" s="87"/>
    </row>
    <row r="306" spans="4:5">
      <c r="D306" s="87"/>
      <c r="E306" s="87"/>
    </row>
    <row r="307" spans="4:5">
      <c r="D307" s="87"/>
      <c r="E307" s="87"/>
    </row>
    <row r="308" spans="4:5">
      <c r="D308" s="87"/>
      <c r="E308" s="87"/>
    </row>
    <row r="309" spans="4:5">
      <c r="D309" s="87"/>
      <c r="E309" s="87"/>
    </row>
    <row r="310" spans="4:5">
      <c r="D310" s="87"/>
      <c r="E310" s="87"/>
    </row>
    <row r="311" spans="4:5">
      <c r="D311" s="87"/>
      <c r="E311" s="87"/>
    </row>
    <row r="312" spans="4:5">
      <c r="D312" s="87"/>
      <c r="E312" s="87"/>
    </row>
    <row r="313" spans="4:5">
      <c r="D313" s="87"/>
      <c r="E313" s="87"/>
    </row>
    <row r="314" spans="4:5">
      <c r="D314" s="87"/>
      <c r="E314" s="87"/>
    </row>
    <row r="315" spans="4:5">
      <c r="D315" s="87"/>
      <c r="E315" s="87"/>
    </row>
    <row r="316" spans="4:5">
      <c r="D316" s="87"/>
      <c r="E316" s="87"/>
    </row>
    <row r="317" spans="4:5">
      <c r="D317" s="87"/>
      <c r="E317" s="87"/>
    </row>
    <row r="318" spans="4:5">
      <c r="D318" s="87"/>
      <c r="E318" s="87"/>
    </row>
    <row r="319" spans="4:5">
      <c r="D319" s="87"/>
      <c r="E319" s="87"/>
    </row>
    <row r="320" spans="4:5">
      <c r="D320" s="87"/>
      <c r="E320" s="87"/>
    </row>
    <row r="321" spans="4:5">
      <c r="D321" s="87"/>
      <c r="E321" s="87"/>
    </row>
    <row r="322" spans="4:5">
      <c r="D322" s="87"/>
      <c r="E322" s="87"/>
    </row>
    <row r="323" spans="4:5">
      <c r="D323" s="87"/>
      <c r="E323" s="87"/>
    </row>
    <row r="324" spans="4:5">
      <c r="D324" s="87"/>
      <c r="E324" s="87"/>
    </row>
    <row r="325" spans="4:5">
      <c r="D325" s="87"/>
      <c r="E325" s="87"/>
    </row>
    <row r="326" spans="4:5">
      <c r="D326" s="87"/>
      <c r="E326" s="87"/>
    </row>
    <row r="327" spans="4:5">
      <c r="D327" s="87"/>
      <c r="E327" s="87"/>
    </row>
    <row r="328" spans="4:5">
      <c r="D328" s="87"/>
      <c r="E328" s="87"/>
    </row>
    <row r="329" spans="4:5">
      <c r="D329" s="87"/>
      <c r="E329" s="87"/>
    </row>
    <row r="330" spans="4:5">
      <c r="D330" s="87"/>
      <c r="E330" s="87"/>
    </row>
    <row r="331" spans="4:5">
      <c r="D331" s="87"/>
      <c r="E331" s="87"/>
    </row>
    <row r="332" spans="4:5">
      <c r="D332" s="87"/>
      <c r="E332" s="87"/>
    </row>
    <row r="333" spans="4:5">
      <c r="D333" s="87"/>
      <c r="E333" s="87"/>
    </row>
    <row r="334" spans="4:5">
      <c r="D334" s="87"/>
      <c r="E334" s="87"/>
    </row>
    <row r="335" spans="4:5">
      <c r="D335" s="87"/>
      <c r="E335" s="87"/>
    </row>
    <row r="336" spans="4:5">
      <c r="D336" s="87"/>
      <c r="E336" s="87"/>
    </row>
    <row r="337" spans="4:5">
      <c r="D337" s="87"/>
      <c r="E337" s="87"/>
    </row>
    <row r="338" spans="4:5">
      <c r="D338" s="87"/>
      <c r="E338" s="87"/>
    </row>
    <row r="339" spans="4:5">
      <c r="E339" s="87"/>
    </row>
    <row r="340" spans="4:5">
      <c r="E340" s="87"/>
    </row>
    <row r="341" spans="4:5">
      <c r="E341" s="87"/>
    </row>
    <row r="342" spans="4:5">
      <c r="E342" s="87"/>
    </row>
    <row r="343" spans="4:5">
      <c r="E343" s="87"/>
    </row>
    <row r="344" spans="4:5">
      <c r="E344" s="87"/>
    </row>
    <row r="345" spans="4:5">
      <c r="E345" s="87"/>
    </row>
    <row r="346" spans="4:5">
      <c r="E346" s="87"/>
    </row>
    <row r="347" spans="4:5">
      <c r="E347" s="87"/>
    </row>
    <row r="348" spans="4:5">
      <c r="E348" s="87"/>
    </row>
    <row r="349" spans="4:5">
      <c r="E349" s="87"/>
    </row>
    <row r="350" spans="4:5">
      <c r="E350" s="87"/>
    </row>
    <row r="351" spans="4:5">
      <c r="E351" s="87"/>
    </row>
    <row r="352" spans="4:5">
      <c r="E352" s="87"/>
    </row>
    <row r="353" spans="5:5">
      <c r="E353" s="87"/>
    </row>
    <row r="354" spans="5:5">
      <c r="E354" s="87"/>
    </row>
    <row r="355" spans="5:5">
      <c r="E355" s="87"/>
    </row>
    <row r="356" spans="5:5">
      <c r="E356" s="87"/>
    </row>
    <row r="357" spans="5:5">
      <c r="E357" s="87"/>
    </row>
    <row r="358" spans="5:5">
      <c r="E358" s="87"/>
    </row>
    <row r="359" spans="5:5">
      <c r="E359" s="87"/>
    </row>
    <row r="360" spans="5:5">
      <c r="E360" s="87"/>
    </row>
    <row r="361" spans="5:5">
      <c r="E361" s="87"/>
    </row>
    <row r="362" spans="5:5">
      <c r="E362" s="87"/>
    </row>
    <row r="363" spans="5:5">
      <c r="E363" s="87"/>
    </row>
    <row r="364" spans="5:5">
      <c r="E364" s="87"/>
    </row>
    <row r="365" spans="5:5">
      <c r="E365" s="87"/>
    </row>
    <row r="366" spans="5:5">
      <c r="E366" s="87"/>
    </row>
    <row r="367" spans="5:5">
      <c r="E367" s="87"/>
    </row>
    <row r="368" spans="5:5">
      <c r="E368" s="87"/>
    </row>
    <row r="369" spans="5:5">
      <c r="E369" s="87"/>
    </row>
    <row r="370" spans="5:5">
      <c r="E370" s="87"/>
    </row>
    <row r="371" spans="5:5">
      <c r="E371" s="87"/>
    </row>
    <row r="372" spans="5:5">
      <c r="E372" s="87"/>
    </row>
    <row r="373" spans="5:5">
      <c r="E373" s="87"/>
    </row>
    <row r="374" spans="5:5">
      <c r="E374" s="87"/>
    </row>
    <row r="375" spans="5:5">
      <c r="E375" s="87"/>
    </row>
    <row r="376" spans="5:5">
      <c r="E376" s="87"/>
    </row>
    <row r="377" spans="5:5">
      <c r="E377" s="87"/>
    </row>
    <row r="378" spans="5:5">
      <c r="E378" s="87"/>
    </row>
    <row r="379" spans="5:5">
      <c r="E379" s="87"/>
    </row>
    <row r="380" spans="5:5">
      <c r="E380" s="87"/>
    </row>
    <row r="381" spans="5:5">
      <c r="E381" s="87"/>
    </row>
    <row r="382" spans="5:5">
      <c r="E382" s="87"/>
    </row>
    <row r="383" spans="5:5">
      <c r="E383" s="87"/>
    </row>
    <row r="384" spans="5:5">
      <c r="E384" s="87"/>
    </row>
    <row r="385" spans="5:5">
      <c r="E385" s="87"/>
    </row>
    <row r="386" spans="5:5">
      <c r="E386" s="87"/>
    </row>
    <row r="387" spans="5:5">
      <c r="E387" s="87"/>
    </row>
    <row r="388" spans="5:5">
      <c r="E388" s="87"/>
    </row>
    <row r="389" spans="5:5">
      <c r="E389" s="87"/>
    </row>
    <row r="390" spans="5:5">
      <c r="E390" s="87"/>
    </row>
    <row r="391" spans="5:5">
      <c r="E391" s="87"/>
    </row>
    <row r="392" spans="5:5">
      <c r="E392" s="87"/>
    </row>
    <row r="393" spans="5:5">
      <c r="E393" s="87"/>
    </row>
    <row r="394" spans="5:5">
      <c r="E394" s="87"/>
    </row>
    <row r="395" spans="5:5">
      <c r="E395" s="87"/>
    </row>
    <row r="396" spans="5:5">
      <c r="E396" s="87"/>
    </row>
    <row r="397" spans="5:5">
      <c r="E397" s="87"/>
    </row>
    <row r="398" spans="5:5">
      <c r="E398" s="87"/>
    </row>
    <row r="399" spans="5:5">
      <c r="E399" s="87"/>
    </row>
    <row r="400" spans="5:5">
      <c r="E400" s="87"/>
    </row>
    <row r="401" spans="5:5">
      <c r="E401" s="87"/>
    </row>
    <row r="402" spans="5:5">
      <c r="E402" s="87"/>
    </row>
    <row r="403" spans="5:5">
      <c r="E403" s="87"/>
    </row>
    <row r="404" spans="5:5">
      <c r="E404" s="87"/>
    </row>
    <row r="405" spans="5:5">
      <c r="E405" s="87"/>
    </row>
    <row r="406" spans="5:5">
      <c r="E406" s="87"/>
    </row>
    <row r="407" spans="5:5">
      <c r="E407" s="87"/>
    </row>
    <row r="408" spans="5:5">
      <c r="E408" s="87"/>
    </row>
    <row r="409" spans="5:5">
      <c r="E409" s="87"/>
    </row>
    <row r="410" spans="5:5">
      <c r="E410" s="87"/>
    </row>
    <row r="411" spans="5:5">
      <c r="E411" s="87"/>
    </row>
    <row r="412" spans="5:5">
      <c r="E412" s="87"/>
    </row>
    <row r="413" spans="5:5">
      <c r="E413" s="87"/>
    </row>
    <row r="414" spans="5:5">
      <c r="E414" s="87"/>
    </row>
    <row r="415" spans="5:5">
      <c r="E415" s="87"/>
    </row>
    <row r="416" spans="5:5">
      <c r="E416" s="87"/>
    </row>
    <row r="417" spans="5:5">
      <c r="E417" s="87"/>
    </row>
    <row r="418" spans="5:5">
      <c r="E418" s="87"/>
    </row>
    <row r="419" spans="5:5">
      <c r="E419" s="87"/>
    </row>
    <row r="420" spans="5:5">
      <c r="E420" s="87"/>
    </row>
    <row r="421" spans="5:5">
      <c r="E421" s="87"/>
    </row>
    <row r="422" spans="5:5">
      <c r="E422" s="87"/>
    </row>
    <row r="423" spans="5:5">
      <c r="E423" s="87"/>
    </row>
    <row r="424" spans="5:5">
      <c r="E424" s="87"/>
    </row>
    <row r="425" spans="5:5">
      <c r="E425" s="87"/>
    </row>
    <row r="426" spans="5:5">
      <c r="E426" s="87"/>
    </row>
    <row r="427" spans="5:5">
      <c r="E427" s="87"/>
    </row>
    <row r="428" spans="5:5">
      <c r="E428" s="87"/>
    </row>
    <row r="429" spans="5:5">
      <c r="E429" s="87"/>
    </row>
    <row r="430" spans="5:5">
      <c r="E430" s="87"/>
    </row>
    <row r="431" spans="5:5">
      <c r="E431" s="87"/>
    </row>
    <row r="432" spans="5:5">
      <c r="E432" s="87"/>
    </row>
    <row r="433" spans="5:7">
      <c r="E433" s="87"/>
    </row>
    <row r="434" spans="5:7">
      <c r="E434" s="87"/>
    </row>
    <row r="435" spans="5:7">
      <c r="E435" s="87"/>
    </row>
    <row r="436" spans="5:7">
      <c r="E436" s="87"/>
    </row>
    <row r="437" spans="5:7">
      <c r="E437" s="87"/>
    </row>
    <row r="438" spans="5:7">
      <c r="E438" s="87"/>
    </row>
    <row r="439" spans="5:7">
      <c r="E439" s="87"/>
    </row>
    <row r="440" spans="5:7">
      <c r="E440" s="87"/>
    </row>
    <row r="441" spans="5:7">
      <c r="E441" s="87"/>
    </row>
    <row r="442" spans="5:7">
      <c r="E442" s="87"/>
    </row>
    <row r="443" spans="5:7">
      <c r="E443" s="87"/>
    </row>
    <row r="444" spans="5:7">
      <c r="E444" s="87"/>
    </row>
    <row r="445" spans="5:7">
      <c r="E445" s="87"/>
    </row>
    <row r="446" spans="5:7">
      <c r="E446" s="87"/>
    </row>
    <row r="447" spans="5:7">
      <c r="E447" s="87"/>
      <c r="G447" s="119"/>
    </row>
    <row r="448" spans="5:7">
      <c r="E448" s="87"/>
      <c r="G448" s="119"/>
    </row>
    <row r="449" spans="5:5">
      <c r="E449" s="87"/>
    </row>
    <row r="450" spans="5:5">
      <c r="E450" s="87"/>
    </row>
    <row r="451" spans="5:5">
      <c r="E451" s="87"/>
    </row>
    <row r="452" spans="5:5">
      <c r="E452" s="87"/>
    </row>
    <row r="453" spans="5:5">
      <c r="E453" s="87"/>
    </row>
    <row r="454" spans="5:5">
      <c r="E454" s="87"/>
    </row>
    <row r="455" spans="5:5">
      <c r="E455" s="87"/>
    </row>
    <row r="456" spans="5:5">
      <c r="E456" s="87"/>
    </row>
    <row r="457" spans="5:5">
      <c r="E457" s="87"/>
    </row>
    <row r="458" spans="5:5">
      <c r="E458" s="87"/>
    </row>
    <row r="459" spans="5:5">
      <c r="E459" s="87"/>
    </row>
    <row r="460" spans="5:5">
      <c r="E460" s="87"/>
    </row>
    <row r="461" spans="5:5">
      <c r="E461" s="87"/>
    </row>
    <row r="462" spans="5:5">
      <c r="E462" s="87"/>
    </row>
    <row r="463" spans="5:5">
      <c r="E463" s="87"/>
    </row>
    <row r="464" spans="5:5">
      <c r="E464" s="87"/>
    </row>
    <row r="465" spans="5:5">
      <c r="E465" s="87"/>
    </row>
    <row r="466" spans="5:5">
      <c r="E466" s="87"/>
    </row>
    <row r="467" spans="5:5">
      <c r="E467" s="87"/>
    </row>
    <row r="468" spans="5:5">
      <c r="E468" s="87"/>
    </row>
    <row r="469" spans="5:5">
      <c r="E469" s="87"/>
    </row>
    <row r="470" spans="5:5">
      <c r="E470" s="87"/>
    </row>
    <row r="471" spans="5:5">
      <c r="E471" s="87"/>
    </row>
    <row r="472" spans="5:5">
      <c r="E472" s="87"/>
    </row>
    <row r="473" spans="5:5">
      <c r="E473" s="87"/>
    </row>
    <row r="474" spans="5:5">
      <c r="E474" s="87"/>
    </row>
    <row r="475" spans="5:5">
      <c r="E475" s="87"/>
    </row>
    <row r="476" spans="5:5">
      <c r="E476" s="87"/>
    </row>
    <row r="477" spans="5:5">
      <c r="E477" s="87"/>
    </row>
  </sheetData>
  <sheetProtection password="801E" sheet="1" objects="1" scenarios="1"/>
  <mergeCells count="66">
    <mergeCell ref="I158:I159"/>
    <mergeCell ref="B5:B6"/>
    <mergeCell ref="C5:C6"/>
    <mergeCell ref="H5:H6"/>
    <mergeCell ref="I5:I6"/>
    <mergeCell ref="H13:H14"/>
    <mergeCell ref="I13:I14"/>
    <mergeCell ref="B35:B36"/>
    <mergeCell ref="C35:C36"/>
    <mergeCell ref="H37:H38"/>
    <mergeCell ref="B63:B64"/>
    <mergeCell ref="C63:C64"/>
    <mergeCell ref="E66:E68"/>
    <mergeCell ref="F66:F68"/>
    <mergeCell ref="I37:I38"/>
    <mergeCell ref="B49:B50"/>
    <mergeCell ref="C49:C50"/>
    <mergeCell ref="B51:B52"/>
    <mergeCell ref="C51:C52"/>
    <mergeCell ref="H79:H80"/>
    <mergeCell ref="I79:I80"/>
    <mergeCell ref="H81:H82"/>
    <mergeCell ref="I81:I82"/>
    <mergeCell ref="B72:B73"/>
    <mergeCell ref="H72:H73"/>
    <mergeCell ref="I72:I73"/>
    <mergeCell ref="H74:H75"/>
    <mergeCell ref="I74:I75"/>
    <mergeCell ref="H83:H84"/>
    <mergeCell ref="E90:E91"/>
    <mergeCell ref="F90:F91"/>
    <mergeCell ref="B96:B97"/>
    <mergeCell ref="C96:C97"/>
    <mergeCell ref="E96:E97"/>
    <mergeCell ref="F96:F97"/>
    <mergeCell ref="B118:B119"/>
    <mergeCell ref="C118:C119"/>
    <mergeCell ref="E118:E119"/>
    <mergeCell ref="E120:E121"/>
    <mergeCell ref="B98:B99"/>
    <mergeCell ref="C98:C99"/>
    <mergeCell ref="B100:B101"/>
    <mergeCell ref="C100:C101"/>
    <mergeCell ref="F120:F121"/>
    <mergeCell ref="H121:H122"/>
    <mergeCell ref="E122:E123"/>
    <mergeCell ref="F122:F123"/>
    <mergeCell ref="H123:H124"/>
    <mergeCell ref="I129:I130"/>
    <mergeCell ref="H131:H132"/>
    <mergeCell ref="I131:I132"/>
    <mergeCell ref="I123:I124"/>
    <mergeCell ref="B124:B125"/>
    <mergeCell ref="C124:C125"/>
    <mergeCell ref="E126:E127"/>
    <mergeCell ref="F126:F127"/>
    <mergeCell ref="H133:H134"/>
    <mergeCell ref="H139:H140"/>
    <mergeCell ref="B148:B149"/>
    <mergeCell ref="C148:C149"/>
    <mergeCell ref="H129:H130"/>
    <mergeCell ref="H158:H159"/>
    <mergeCell ref="B170:B171"/>
    <mergeCell ref="E175:E176"/>
    <mergeCell ref="F175:F176"/>
    <mergeCell ref="C170:C171"/>
  </mergeCells>
  <phoneticPr fontId="0" type="noConversion"/>
  <pageMargins left="0.75" right="0.75" top="1" bottom="1" header="0.5" footer="0.5"/>
  <pageSetup paperSize="9" orientation="portrait" r:id="rId1"/>
  <headerFooter alignWithMargins="0"/>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5"/>
  <dimension ref="A1:G78"/>
  <sheetViews>
    <sheetView zoomScaleNormal="100" zoomScaleSheetLayoutView="100" workbookViewId="0">
      <selection activeCell="I29" sqref="I29"/>
    </sheetView>
  </sheetViews>
  <sheetFormatPr defaultColWidth="9.109375" defaultRowHeight="13.2"/>
  <cols>
    <col min="1" max="1" width="8.5546875" style="88" customWidth="1"/>
    <col min="2" max="2" width="27.88671875" style="115" customWidth="1"/>
    <col min="3" max="3" width="3.33203125" style="115" bestFit="1" customWidth="1"/>
    <col min="4" max="4" width="5" style="88" customWidth="1"/>
    <col min="5" max="5" width="27.88671875" style="115" bestFit="1" customWidth="1"/>
    <col min="6" max="6" width="5.44140625" style="116" customWidth="1"/>
    <col min="7" max="7" width="6.88671875" style="88" customWidth="1"/>
    <col min="8" max="16384" width="9.109375" style="88"/>
  </cols>
  <sheetData>
    <row r="1" spans="1:7" ht="24.75" customHeight="1">
      <c r="B1" s="88"/>
      <c r="C1" s="153" t="s">
        <v>601</v>
      </c>
      <c r="D1" s="153"/>
      <c r="E1" s="89"/>
      <c r="F1" s="89"/>
    </row>
    <row r="2" spans="1:7" ht="96.75" customHeight="1">
      <c r="A2" s="1604" t="s">
        <v>685</v>
      </c>
      <c r="B2" s="1604"/>
      <c r="C2" s="1604"/>
      <c r="D2" s="1604"/>
      <c r="E2" s="1604"/>
      <c r="F2" s="1604"/>
      <c r="G2" s="1604"/>
    </row>
    <row r="3" spans="1:7" ht="11.25" customHeight="1" thickBot="1">
      <c r="A3" s="90"/>
      <c r="B3" s="91"/>
      <c r="C3" s="91"/>
      <c r="D3" s="91"/>
      <c r="E3" s="91"/>
      <c r="F3" s="92"/>
      <c r="G3" s="91"/>
    </row>
    <row r="4" spans="1:7" ht="14.25" customHeight="1" thickBot="1">
      <c r="A4" s="91"/>
      <c r="B4" s="93" t="s">
        <v>126</v>
      </c>
      <c r="C4" s="93" t="s">
        <v>85</v>
      </c>
      <c r="D4" s="91"/>
      <c r="E4" s="93" t="s">
        <v>292</v>
      </c>
      <c r="F4" s="94" t="s">
        <v>85</v>
      </c>
      <c r="G4" s="91"/>
    </row>
    <row r="5" spans="1:7" ht="14.25" customHeight="1" thickBot="1">
      <c r="A5" s="91"/>
      <c r="B5" s="95" t="s">
        <v>542</v>
      </c>
      <c r="C5" s="95">
        <v>2</v>
      </c>
      <c r="D5" s="91"/>
      <c r="E5" s="96" t="s">
        <v>543</v>
      </c>
      <c r="F5" s="97">
        <v>4</v>
      </c>
      <c r="G5" s="91"/>
    </row>
    <row r="6" spans="1:7" ht="14.25" customHeight="1" thickBot="1">
      <c r="A6" s="91"/>
      <c r="B6" s="98" t="s">
        <v>544</v>
      </c>
      <c r="C6" s="98">
        <v>4</v>
      </c>
      <c r="D6" s="91"/>
      <c r="E6" s="99"/>
      <c r="F6" s="92"/>
      <c r="G6" s="91"/>
    </row>
    <row r="7" spans="1:7" ht="14.25" customHeight="1" thickBot="1">
      <c r="A7" s="91"/>
      <c r="B7" s="95" t="s">
        <v>545</v>
      </c>
      <c r="C7" s="95">
        <v>4</v>
      </c>
      <c r="D7" s="91"/>
      <c r="E7" s="93" t="s">
        <v>286</v>
      </c>
      <c r="F7" s="93" t="s">
        <v>85</v>
      </c>
      <c r="G7" s="91"/>
    </row>
    <row r="8" spans="1:7" ht="14.25" customHeight="1">
      <c r="A8" s="91"/>
      <c r="B8" s="98" t="s">
        <v>546</v>
      </c>
      <c r="C8" s="98">
        <v>3</v>
      </c>
      <c r="D8" s="91"/>
      <c r="E8" s="95" t="s">
        <v>547</v>
      </c>
      <c r="F8" s="100">
        <v>4</v>
      </c>
      <c r="G8" s="91"/>
    </row>
    <row r="9" spans="1:7" ht="14.25" customHeight="1">
      <c r="A9" s="91"/>
      <c r="B9" s="95" t="s">
        <v>548</v>
      </c>
      <c r="C9" s="95">
        <v>4</v>
      </c>
      <c r="D9" s="91"/>
      <c r="E9" s="98" t="s">
        <v>549</v>
      </c>
      <c r="F9" s="101">
        <v>4</v>
      </c>
      <c r="G9" s="91"/>
    </row>
    <row r="10" spans="1:7" ht="14.25" customHeight="1">
      <c r="A10" s="91"/>
      <c r="B10" s="98" t="s">
        <v>550</v>
      </c>
      <c r="C10" s="98">
        <v>2</v>
      </c>
      <c r="D10" s="91"/>
      <c r="E10" s="95" t="s">
        <v>551</v>
      </c>
      <c r="F10" s="100">
        <v>4</v>
      </c>
      <c r="G10" s="91"/>
    </row>
    <row r="11" spans="1:7" ht="14.25" customHeight="1">
      <c r="A11" s="91"/>
      <c r="B11" s="95" t="s">
        <v>552</v>
      </c>
      <c r="C11" s="95">
        <v>1</v>
      </c>
      <c r="D11" s="91"/>
      <c r="E11" s="98" t="s">
        <v>553</v>
      </c>
      <c r="F11" s="101">
        <v>2</v>
      </c>
      <c r="G11" s="91"/>
    </row>
    <row r="12" spans="1:7" ht="14.25" customHeight="1" thickBot="1">
      <c r="A12" s="91"/>
      <c r="B12" s="98" t="s">
        <v>554</v>
      </c>
      <c r="C12" s="98">
        <v>4</v>
      </c>
      <c r="D12" s="91"/>
      <c r="E12" s="96" t="s">
        <v>555</v>
      </c>
      <c r="F12" s="102">
        <v>4</v>
      </c>
      <c r="G12" s="91"/>
    </row>
    <row r="13" spans="1:7" ht="14.25" customHeight="1" thickBot="1">
      <c r="A13" s="91"/>
      <c r="B13" s="96" t="s">
        <v>556</v>
      </c>
      <c r="C13" s="96">
        <v>4</v>
      </c>
      <c r="D13" s="103"/>
      <c r="E13" s="104"/>
      <c r="F13" s="92"/>
      <c r="G13" s="91"/>
    </row>
    <row r="14" spans="1:7" ht="14.25" customHeight="1" thickBot="1">
      <c r="A14" s="91"/>
      <c r="B14" s="99"/>
      <c r="C14" s="91"/>
      <c r="D14" s="91"/>
      <c r="E14" s="93" t="s">
        <v>328</v>
      </c>
      <c r="F14" s="93" t="s">
        <v>85</v>
      </c>
      <c r="G14" s="91"/>
    </row>
    <row r="15" spans="1:7" ht="14.25" customHeight="1" thickBot="1">
      <c r="A15" s="91"/>
      <c r="B15" s="93" t="s">
        <v>163</v>
      </c>
      <c r="C15" s="93" t="s">
        <v>85</v>
      </c>
      <c r="D15" s="91"/>
      <c r="E15" s="100" t="s">
        <v>557</v>
      </c>
      <c r="F15" s="100">
        <v>1</v>
      </c>
      <c r="G15" s="91"/>
    </row>
    <row r="16" spans="1:7" ht="14.25" customHeight="1" thickBot="1">
      <c r="A16" s="91"/>
      <c r="B16" s="96" t="s">
        <v>558</v>
      </c>
      <c r="C16" s="105">
        <v>4</v>
      </c>
      <c r="D16" s="91"/>
      <c r="E16" s="106" t="s">
        <v>559</v>
      </c>
      <c r="F16" s="107">
        <v>4</v>
      </c>
      <c r="G16" s="91"/>
    </row>
    <row r="17" spans="1:7" ht="14.25" customHeight="1" thickBot="1">
      <c r="A17" s="91"/>
      <c r="B17" s="99"/>
      <c r="C17" s="91"/>
      <c r="D17" s="91"/>
      <c r="E17" s="99"/>
      <c r="F17" s="92"/>
      <c r="G17" s="91"/>
    </row>
    <row r="18" spans="1:7" ht="14.25" customHeight="1" thickBot="1">
      <c r="A18" s="91"/>
      <c r="B18" s="93" t="s">
        <v>86</v>
      </c>
      <c r="C18" s="93" t="s">
        <v>85</v>
      </c>
      <c r="D18" s="91"/>
      <c r="E18" s="93" t="s">
        <v>403</v>
      </c>
      <c r="F18" s="93" t="s">
        <v>85</v>
      </c>
      <c r="G18" s="91"/>
    </row>
    <row r="19" spans="1:7" ht="14.25" customHeight="1" thickBot="1">
      <c r="A19" s="91"/>
      <c r="B19" s="108" t="s">
        <v>560</v>
      </c>
      <c r="C19" s="108">
        <v>4</v>
      </c>
      <c r="D19" s="91"/>
      <c r="E19" s="95" t="s">
        <v>561</v>
      </c>
      <c r="F19" s="100">
        <v>4</v>
      </c>
      <c r="G19" s="91"/>
    </row>
    <row r="20" spans="1:7" ht="14.25" customHeight="1" thickBot="1">
      <c r="A20" s="91"/>
      <c r="B20" s="99"/>
      <c r="C20" s="91"/>
      <c r="D20" s="91"/>
      <c r="E20" s="98" t="s">
        <v>562</v>
      </c>
      <c r="F20" s="101">
        <v>4</v>
      </c>
      <c r="G20" s="91"/>
    </row>
    <row r="21" spans="1:7" ht="14.25" customHeight="1" thickBot="1">
      <c r="A21" s="91"/>
      <c r="B21" s="93" t="s">
        <v>124</v>
      </c>
      <c r="C21" s="93" t="s">
        <v>85</v>
      </c>
      <c r="D21" s="91"/>
      <c r="E21" s="95" t="s">
        <v>563</v>
      </c>
      <c r="F21" s="100">
        <v>1</v>
      </c>
      <c r="G21" s="91"/>
    </row>
    <row r="22" spans="1:7" ht="14.25" customHeight="1">
      <c r="A22" s="91"/>
      <c r="B22" s="95" t="s">
        <v>564</v>
      </c>
      <c r="C22" s="95">
        <v>2</v>
      </c>
      <c r="D22" s="91"/>
      <c r="E22" s="98" t="s">
        <v>565</v>
      </c>
      <c r="F22" s="101">
        <v>4</v>
      </c>
      <c r="G22" s="91"/>
    </row>
    <row r="23" spans="1:7" ht="14.25" customHeight="1" thickBot="1">
      <c r="A23" s="91"/>
      <c r="B23" s="106" t="s">
        <v>566</v>
      </c>
      <c r="C23" s="106">
        <v>4</v>
      </c>
      <c r="D23" s="91"/>
      <c r="E23" s="95" t="s">
        <v>567</v>
      </c>
      <c r="F23" s="100">
        <v>2</v>
      </c>
      <c r="G23" s="91"/>
    </row>
    <row r="24" spans="1:7" ht="14.25" customHeight="1" thickBot="1">
      <c r="A24" s="91"/>
      <c r="B24" s="91"/>
      <c r="C24" s="99"/>
      <c r="D24" s="91"/>
      <c r="E24" s="106" t="s">
        <v>568</v>
      </c>
      <c r="F24" s="107">
        <v>2</v>
      </c>
      <c r="G24" s="91"/>
    </row>
    <row r="25" spans="1:7" ht="14.25" customHeight="1" thickBot="1">
      <c r="A25" s="91"/>
      <c r="B25" s="93" t="s">
        <v>166</v>
      </c>
      <c r="C25" s="93" t="s">
        <v>85</v>
      </c>
      <c r="D25" s="91"/>
      <c r="E25" s="99"/>
      <c r="F25" s="92"/>
      <c r="G25" s="91"/>
    </row>
    <row r="26" spans="1:7" ht="14.25" customHeight="1" thickBot="1">
      <c r="A26" s="91"/>
      <c r="B26" s="95" t="s">
        <v>569</v>
      </c>
      <c r="C26" s="95">
        <v>2</v>
      </c>
      <c r="D26" s="91"/>
      <c r="E26" s="93" t="s">
        <v>404</v>
      </c>
      <c r="F26" s="93" t="s">
        <v>85</v>
      </c>
      <c r="G26" s="91"/>
    </row>
    <row r="27" spans="1:7" ht="14.25" customHeight="1" thickBot="1">
      <c r="A27" s="91"/>
      <c r="B27" s="106" t="s">
        <v>570</v>
      </c>
      <c r="C27" s="106">
        <v>4</v>
      </c>
      <c r="D27" s="91"/>
      <c r="E27" s="95" t="s">
        <v>571</v>
      </c>
      <c r="F27" s="100">
        <v>1</v>
      </c>
      <c r="G27" s="91"/>
    </row>
    <row r="28" spans="1:7" ht="14.25" customHeight="1" thickBot="1">
      <c r="A28" s="91"/>
      <c r="B28" s="104"/>
      <c r="C28" s="109"/>
      <c r="D28" s="91"/>
      <c r="E28" s="98" t="s">
        <v>572</v>
      </c>
      <c r="F28" s="101">
        <v>4</v>
      </c>
      <c r="G28" s="91"/>
    </row>
    <row r="29" spans="1:7" ht="14.25" customHeight="1" thickBot="1">
      <c r="A29" s="91"/>
      <c r="B29" s="93" t="s">
        <v>195</v>
      </c>
      <c r="C29" s="93" t="s">
        <v>85</v>
      </c>
      <c r="D29" s="91"/>
      <c r="E29" s="95" t="s">
        <v>573</v>
      </c>
      <c r="F29" s="100">
        <v>1</v>
      </c>
      <c r="G29" s="91"/>
    </row>
    <row r="30" spans="1:7" ht="14.25" customHeight="1" thickBot="1">
      <c r="A30" s="91"/>
      <c r="B30" s="95" t="s">
        <v>574</v>
      </c>
      <c r="C30" s="95">
        <v>4</v>
      </c>
      <c r="D30" s="91"/>
      <c r="E30" s="106" t="s">
        <v>575</v>
      </c>
      <c r="F30" s="107">
        <v>4</v>
      </c>
      <c r="G30" s="91"/>
    </row>
    <row r="31" spans="1:7" ht="14.25" customHeight="1" thickBot="1">
      <c r="A31" s="91"/>
      <c r="B31" s="106" t="s">
        <v>576</v>
      </c>
      <c r="C31" s="106">
        <v>4</v>
      </c>
      <c r="D31" s="91"/>
      <c r="E31" s="99"/>
      <c r="F31" s="92"/>
      <c r="G31" s="91"/>
    </row>
    <row r="32" spans="1:7" ht="14.25" customHeight="1" thickBot="1">
      <c r="A32" s="91"/>
      <c r="B32" s="99"/>
      <c r="C32" s="91"/>
      <c r="D32" s="91"/>
      <c r="E32" s="93" t="s">
        <v>429</v>
      </c>
      <c r="F32" s="93" t="s">
        <v>85</v>
      </c>
      <c r="G32" s="91"/>
    </row>
    <row r="33" spans="1:7" ht="14.25" customHeight="1" thickBot="1">
      <c r="A33" s="91"/>
      <c r="B33" s="93" t="s">
        <v>123</v>
      </c>
      <c r="C33" s="93" t="s">
        <v>85</v>
      </c>
      <c r="D33" s="91"/>
      <c r="E33" s="95" t="s">
        <v>577</v>
      </c>
      <c r="F33" s="100">
        <v>1</v>
      </c>
      <c r="G33" s="91"/>
    </row>
    <row r="34" spans="1:7" ht="14.25" customHeight="1" thickBot="1">
      <c r="A34" s="91"/>
      <c r="B34" s="110" t="s">
        <v>578</v>
      </c>
      <c r="C34" s="110">
        <v>4</v>
      </c>
      <c r="D34" s="91"/>
      <c r="E34" s="106" t="s">
        <v>579</v>
      </c>
      <c r="F34" s="107">
        <v>2</v>
      </c>
      <c r="G34" s="91"/>
    </row>
    <row r="35" spans="1:7" ht="14.25" customHeight="1" thickBot="1">
      <c r="A35" s="91"/>
      <c r="B35" s="98" t="s">
        <v>580</v>
      </c>
      <c r="C35" s="98">
        <v>3</v>
      </c>
      <c r="D35" s="91"/>
      <c r="E35" s="99"/>
      <c r="F35" s="92"/>
      <c r="G35" s="91"/>
    </row>
    <row r="36" spans="1:7" ht="14.25" customHeight="1" thickBot="1">
      <c r="A36" s="91"/>
      <c r="B36" s="95" t="s">
        <v>581</v>
      </c>
      <c r="C36" s="95">
        <v>3</v>
      </c>
      <c r="D36" s="91"/>
      <c r="E36" s="93" t="s">
        <v>405</v>
      </c>
      <c r="F36" s="94" t="s">
        <v>85</v>
      </c>
      <c r="G36" s="91"/>
    </row>
    <row r="37" spans="1:7" ht="14.25" customHeight="1" thickBot="1">
      <c r="A37" s="91"/>
      <c r="B37" s="106" t="s">
        <v>582</v>
      </c>
      <c r="C37" s="106">
        <v>4</v>
      </c>
      <c r="D37" s="91"/>
      <c r="E37" s="95" t="s">
        <v>583</v>
      </c>
      <c r="F37" s="111">
        <v>3</v>
      </c>
      <c r="G37" s="91"/>
    </row>
    <row r="38" spans="1:7" ht="14.25" customHeight="1" thickBot="1">
      <c r="A38" s="91"/>
      <c r="B38" s="99"/>
      <c r="C38" s="91"/>
      <c r="D38" s="91"/>
      <c r="E38" s="98" t="s">
        <v>520</v>
      </c>
      <c r="F38" s="112">
        <v>2</v>
      </c>
      <c r="G38" s="91"/>
    </row>
    <row r="39" spans="1:7" ht="14.25" customHeight="1" thickBot="1">
      <c r="A39" s="91"/>
      <c r="B39" s="93" t="s">
        <v>136</v>
      </c>
      <c r="C39" s="93" t="s">
        <v>85</v>
      </c>
      <c r="D39" s="91"/>
      <c r="E39" s="95" t="s">
        <v>584</v>
      </c>
      <c r="F39" s="111">
        <v>4</v>
      </c>
      <c r="G39" s="91"/>
    </row>
    <row r="40" spans="1:7" ht="14.25" customHeight="1">
      <c r="A40" s="91"/>
      <c r="B40" s="110" t="s">
        <v>585</v>
      </c>
      <c r="C40" s="110">
        <v>4</v>
      </c>
      <c r="D40" s="91"/>
      <c r="E40" s="98" t="s">
        <v>586</v>
      </c>
      <c r="F40" s="112">
        <v>4</v>
      </c>
      <c r="G40" s="91"/>
    </row>
    <row r="41" spans="1:7" ht="14.25" customHeight="1">
      <c r="A41" s="91"/>
      <c r="B41" s="98" t="s">
        <v>587</v>
      </c>
      <c r="C41" s="98">
        <v>1</v>
      </c>
      <c r="D41" s="91"/>
      <c r="E41" s="95" t="s">
        <v>588</v>
      </c>
      <c r="F41" s="111">
        <v>4</v>
      </c>
      <c r="G41" s="91"/>
    </row>
    <row r="42" spans="1:7" ht="14.25" customHeight="1">
      <c r="A42" s="91"/>
      <c r="B42" s="95" t="s">
        <v>589</v>
      </c>
      <c r="C42" s="95">
        <v>4</v>
      </c>
      <c r="D42" s="91"/>
      <c r="E42" s="98" t="s">
        <v>590</v>
      </c>
      <c r="F42" s="112">
        <v>4</v>
      </c>
      <c r="G42" s="91"/>
    </row>
    <row r="43" spans="1:7" ht="14.25" customHeight="1" thickBot="1">
      <c r="A43" s="91"/>
      <c r="B43" s="98" t="s">
        <v>591</v>
      </c>
      <c r="C43" s="98">
        <v>4</v>
      </c>
      <c r="D43" s="91"/>
      <c r="E43" s="96" t="s">
        <v>592</v>
      </c>
      <c r="F43" s="97">
        <v>3</v>
      </c>
      <c r="G43" s="91"/>
    </row>
    <row r="44" spans="1:7" ht="14.25" customHeight="1" thickBot="1">
      <c r="A44" s="91"/>
      <c r="B44" s="96" t="s">
        <v>593</v>
      </c>
      <c r="C44" s="96">
        <v>3</v>
      </c>
      <c r="D44" s="91"/>
      <c r="E44" s="99"/>
      <c r="F44" s="92"/>
      <c r="G44" s="91"/>
    </row>
    <row r="45" spans="1:7" ht="14.25" customHeight="1" thickBot="1">
      <c r="A45" s="91"/>
      <c r="B45" s="99"/>
      <c r="C45" s="91"/>
      <c r="D45" s="91"/>
      <c r="E45" s="113" t="s">
        <v>472</v>
      </c>
      <c r="F45" s="113" t="s">
        <v>85</v>
      </c>
      <c r="G45" s="91"/>
    </row>
    <row r="46" spans="1:7" ht="14.25" customHeight="1" thickBot="1">
      <c r="A46" s="91"/>
      <c r="B46" s="93" t="s">
        <v>241</v>
      </c>
      <c r="C46" s="93" t="s">
        <v>85</v>
      </c>
      <c r="D46" s="91"/>
      <c r="E46" s="110" t="s">
        <v>594</v>
      </c>
      <c r="F46" s="100">
        <v>1</v>
      </c>
      <c r="G46" s="91"/>
    </row>
    <row r="47" spans="1:7" ht="14.25" customHeight="1">
      <c r="A47" s="91"/>
      <c r="B47" s="110" t="s">
        <v>595</v>
      </c>
      <c r="C47" s="110">
        <v>4</v>
      </c>
      <c r="D47" s="91"/>
      <c r="E47" s="98" t="s">
        <v>596</v>
      </c>
      <c r="F47" s="101">
        <v>1</v>
      </c>
      <c r="G47" s="91"/>
    </row>
    <row r="48" spans="1:7" ht="14.25" customHeight="1">
      <c r="A48" s="91"/>
      <c r="B48" s="98" t="s">
        <v>597</v>
      </c>
      <c r="C48" s="98">
        <v>4</v>
      </c>
      <c r="D48" s="91"/>
      <c r="E48" s="95" t="s">
        <v>598</v>
      </c>
      <c r="F48" s="100">
        <v>4</v>
      </c>
      <c r="G48" s="91"/>
    </row>
    <row r="49" spans="1:7" ht="14.25" customHeight="1" thickBot="1">
      <c r="A49" s="91"/>
      <c r="B49" s="96" t="s">
        <v>599</v>
      </c>
      <c r="C49" s="96">
        <v>4</v>
      </c>
      <c r="D49" s="91"/>
      <c r="E49" s="106" t="s">
        <v>600</v>
      </c>
      <c r="F49" s="107">
        <v>4</v>
      </c>
      <c r="G49" s="91"/>
    </row>
    <row r="50" spans="1:7" ht="14.25" customHeight="1">
      <c r="B50" s="88"/>
      <c r="C50" s="114"/>
      <c r="E50" s="88"/>
      <c r="F50" s="89"/>
    </row>
    <row r="51" spans="1:7">
      <c r="B51" s="88"/>
      <c r="C51" s="114"/>
      <c r="E51" s="88"/>
      <c r="F51" s="89"/>
    </row>
    <row r="52" spans="1:7">
      <c r="B52" s="88"/>
      <c r="C52" s="88"/>
      <c r="E52" s="88"/>
      <c r="F52" s="89"/>
    </row>
    <row r="53" spans="1:7">
      <c r="B53" s="88"/>
      <c r="C53" s="88"/>
      <c r="E53" s="88"/>
      <c r="F53" s="89"/>
    </row>
    <row r="54" spans="1:7">
      <c r="B54" s="88"/>
      <c r="C54" s="88"/>
      <c r="E54" s="88"/>
      <c r="F54" s="89"/>
    </row>
    <row r="55" spans="1:7">
      <c r="B55" s="88"/>
      <c r="C55" s="88"/>
      <c r="E55" s="88"/>
      <c r="F55" s="89"/>
    </row>
    <row r="56" spans="1:7">
      <c r="B56" s="88"/>
      <c r="C56" s="88"/>
      <c r="E56" s="88"/>
      <c r="F56" s="89"/>
    </row>
    <row r="57" spans="1:7">
      <c r="B57" s="88"/>
      <c r="C57" s="88"/>
      <c r="E57" s="88"/>
      <c r="F57" s="89"/>
    </row>
    <row r="58" spans="1:7">
      <c r="B58" s="88"/>
      <c r="C58" s="88"/>
      <c r="E58" s="88"/>
      <c r="F58" s="89"/>
    </row>
    <row r="59" spans="1:7">
      <c r="B59" s="88"/>
      <c r="C59" s="88"/>
      <c r="E59" s="88"/>
      <c r="F59" s="89"/>
    </row>
    <row r="60" spans="1:7">
      <c r="B60" s="88"/>
      <c r="C60" s="88"/>
      <c r="E60" s="88"/>
      <c r="F60" s="89"/>
    </row>
    <row r="61" spans="1:7">
      <c r="B61" s="88"/>
      <c r="C61" s="88"/>
      <c r="E61" s="88"/>
      <c r="F61" s="89"/>
    </row>
    <row r="62" spans="1:7">
      <c r="B62" s="88"/>
      <c r="C62" s="88"/>
      <c r="E62" s="88"/>
      <c r="F62" s="89"/>
    </row>
    <row r="63" spans="1:7">
      <c r="B63" s="88"/>
      <c r="C63" s="88"/>
      <c r="E63" s="88"/>
      <c r="F63" s="89"/>
    </row>
    <row r="64" spans="1:7">
      <c r="B64" s="88"/>
      <c r="C64" s="88"/>
      <c r="E64" s="88"/>
      <c r="F64" s="89"/>
    </row>
    <row r="65" spans="2:6">
      <c r="B65" s="88"/>
      <c r="C65" s="88"/>
      <c r="E65" s="88"/>
      <c r="F65" s="89"/>
    </row>
    <row r="66" spans="2:6">
      <c r="B66" s="88"/>
      <c r="C66" s="88"/>
      <c r="E66" s="88"/>
      <c r="F66" s="89"/>
    </row>
    <row r="67" spans="2:6">
      <c r="B67" s="88"/>
      <c r="C67" s="88"/>
      <c r="E67" s="88"/>
      <c r="F67" s="89"/>
    </row>
    <row r="68" spans="2:6">
      <c r="B68" s="88"/>
      <c r="C68" s="88"/>
      <c r="E68" s="88"/>
      <c r="F68" s="89"/>
    </row>
    <row r="69" spans="2:6">
      <c r="B69" s="88"/>
      <c r="C69" s="88"/>
      <c r="E69" s="88"/>
      <c r="F69" s="89"/>
    </row>
    <row r="70" spans="2:6">
      <c r="B70" s="88"/>
      <c r="C70" s="88"/>
      <c r="E70" s="88"/>
      <c r="F70" s="89"/>
    </row>
    <row r="71" spans="2:6">
      <c r="B71" s="88"/>
      <c r="C71" s="88"/>
      <c r="E71" s="88"/>
      <c r="F71" s="89"/>
    </row>
    <row r="72" spans="2:6">
      <c r="B72" s="88"/>
      <c r="C72" s="88"/>
      <c r="E72" s="88"/>
      <c r="F72" s="89"/>
    </row>
    <row r="73" spans="2:6">
      <c r="B73" s="88"/>
      <c r="C73" s="88"/>
      <c r="E73" s="88"/>
      <c r="F73" s="89"/>
    </row>
    <row r="74" spans="2:6">
      <c r="B74" s="88"/>
      <c r="C74" s="88"/>
      <c r="E74" s="88"/>
      <c r="F74" s="89"/>
    </row>
    <row r="75" spans="2:6">
      <c r="B75" s="88"/>
      <c r="C75" s="88"/>
      <c r="E75" s="88"/>
      <c r="F75" s="89"/>
    </row>
    <row r="76" spans="2:6">
      <c r="B76" s="88"/>
      <c r="C76" s="88"/>
      <c r="E76" s="88"/>
      <c r="F76" s="89"/>
    </row>
    <row r="77" spans="2:6">
      <c r="B77" s="88"/>
      <c r="C77" s="88"/>
      <c r="E77" s="88"/>
      <c r="F77" s="89"/>
    </row>
    <row r="78" spans="2:6">
      <c r="B78" s="88"/>
      <c r="C78" s="88"/>
      <c r="E78" s="88"/>
      <c r="F78" s="89"/>
    </row>
  </sheetData>
  <sheetProtection password="801E" sheet="1" objects="1" scenarios="1"/>
  <mergeCells count="1">
    <mergeCell ref="A2:G2"/>
  </mergeCells>
  <phoneticPr fontId="0" type="noConversion"/>
  <pageMargins left="0.74803149606299213" right="0.36" top="0.26" bottom="0.59055118110236227" header="0.32" footer="0.16"/>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14</vt:i4>
      </vt:variant>
      <vt:variant>
        <vt:lpstr>Pomenované rozsahy</vt:lpstr>
      </vt:variant>
      <vt:variant>
        <vt:i4>45</vt:i4>
      </vt:variant>
    </vt:vector>
  </HeadingPairs>
  <TitlesOfParts>
    <vt:vector size="59" baseType="lpstr">
      <vt:lpstr>vstup</vt:lpstr>
      <vt:lpstr>POMOC</vt:lpstr>
      <vt:lpstr>Poistné</vt:lpstr>
      <vt:lpstr>Ponuka</vt:lpstr>
      <vt:lpstr>Osobne_udaje</vt:lpstr>
      <vt:lpstr>PZ_1</vt:lpstr>
      <vt:lpstr>zdravotny_dotaznik_1</vt:lpstr>
      <vt:lpstr>zdravotny_dotaznik_2</vt:lpstr>
      <vt:lpstr>PZ_4</vt:lpstr>
      <vt:lpstr>PZ_5</vt:lpstr>
      <vt:lpstr>PZ </vt:lpstr>
      <vt:lpstr>info_formular</vt:lpstr>
      <vt:lpstr>pc</vt:lpstr>
      <vt:lpstr>zc</vt:lpstr>
      <vt:lpstr>_tnu2</vt:lpstr>
      <vt:lpstr>_tnu450</vt:lpstr>
      <vt:lpstr>avizo</vt:lpstr>
      <vt:lpstr>b</vt:lpstr>
      <vt:lpstr>Bronze_D</vt:lpstr>
      <vt:lpstr>cislo_PZ</vt:lpstr>
      <vt:lpstr>cnl</vt:lpstr>
      <vt:lpstr>dn</vt:lpstr>
      <vt:lpstr>do</vt:lpstr>
      <vt:lpstr>dospely</vt:lpstr>
      <vt:lpstr>Gold_D</vt:lpstr>
      <vt:lpstr>kch</vt:lpstr>
      <vt:lpstr>mo</vt:lpstr>
      <vt:lpstr>n</vt:lpstr>
      <vt:lpstr>info_formular!Oblasť_tlače</vt:lpstr>
      <vt:lpstr>Poistné!Oblasť_tlače</vt:lpstr>
      <vt:lpstr>Ponuka!Oblasť_tlače</vt:lpstr>
      <vt:lpstr>'PZ '!Oblasť_tlače</vt:lpstr>
      <vt:lpstr>PZ_1!Oblasť_tlače</vt:lpstr>
      <vt:lpstr>PZ_4!Oblasť_tlače</vt:lpstr>
      <vt:lpstr>PZ_5!Oblasť_tlače</vt:lpstr>
      <vt:lpstr>zc!Oblasť_tlače</vt:lpstr>
      <vt:lpstr>zdravotny_dotaznik_1!Oblasť_tlače</vt:lpstr>
      <vt:lpstr>zdravotny_dotaznik_2!Oblasť_tlače</vt:lpstr>
      <vt:lpstr>OK_1</vt:lpstr>
      <vt:lpstr>OK_2</vt:lpstr>
      <vt:lpstr>OK_4</vt:lpstr>
      <vt:lpstr>pocetdeti</vt:lpstr>
      <vt:lpstr>RCD</vt:lpstr>
      <vt:lpstr>rs</vt:lpstr>
      <vt:lpstr>sadzba_1baldeti</vt:lpstr>
      <vt:lpstr>sadzba_2baldeti</vt:lpstr>
      <vt:lpstr>sadzba_3baldeti</vt:lpstr>
      <vt:lpstr>Silver_D</vt:lpstr>
      <vt:lpstr>sprievodka</vt:lpstr>
      <vt:lpstr>su</vt:lpstr>
      <vt:lpstr>suhlas</vt:lpstr>
      <vt:lpstr>t</vt:lpstr>
      <vt:lpstr>test</vt:lpstr>
      <vt:lpstr>test_1</vt:lpstr>
      <vt:lpstr>test1</vt:lpstr>
      <vt:lpstr>tlac_PZ_6</vt:lpstr>
      <vt:lpstr>tnu</vt:lpstr>
      <vt:lpstr>x</vt:lpstr>
      <vt:lpstr>xd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Union poisťovňa a.s.</dc:creator>
  <cp:lastModifiedBy>Priatková Viktória</cp:lastModifiedBy>
  <cp:lastPrinted>2021-12-08T12:25:17Z</cp:lastPrinted>
  <dcterms:created xsi:type="dcterms:W3CDTF">1996-06-28T11:07:14Z</dcterms:created>
  <dcterms:modified xsi:type="dcterms:W3CDTF">2022-01-03T09:53:25Z</dcterms:modified>
</cp:coreProperties>
</file>