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trlProps/ctrlProp4.xml" ContentType="application/vnd.ms-excel.controlproperties+xml"/>
  <Override PartName="/xl/comments2.xml" ContentType="application/vnd.openxmlformats-officedocument.spreadsheetml.comments+xml"/>
  <Override PartName="/xl/drawings/drawing5.xml" ContentType="application/vnd.openxmlformats-officedocument.drawing+xml"/>
  <Override PartName="/xl/ctrlProps/ctrlProp5.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codeName="{B6124F1A-AFFB-F854-7757-9A1D4C6FC43C}"/>
  <workbookPr codeName="ThisWorkbook"/>
  <mc:AlternateContent xmlns:mc="http://schemas.openxmlformats.org/markup-compatibility/2006">
    <mc:Choice Requires="x15">
      <x15ac:absPath xmlns:x15ac="http://schemas.microsoft.com/office/spreadsheetml/2010/11/ac" url="K:\VyvojProduktov_PoistenieOsob\URAZ\VYVOJ\Zmeny_2022\zlomeniny\vypoctovy_programy\"/>
    </mc:Choice>
  </mc:AlternateContent>
  <xr:revisionPtr revIDLastSave="0" documentId="13_ncr:1_{43A00CBE-B65F-4B21-A358-7D24EA25E3A2}" xr6:coauthVersionLast="47" xr6:coauthVersionMax="47" xr10:uidLastSave="{00000000-0000-0000-0000-000000000000}"/>
  <workbookProtection workbookAlgorithmName="SHA-512" workbookHashValue="eW5XdL/0U0wMnBUzbWSyQ/EtmE4wPiYcH80Lx6n6y7RToPXG8++In3wwq3xEkfC7FRoW2+njfVSNl4qy/P1ppA==" workbookSaltValue="qY/b5GQu9mHO9J+54R/bGw==" workbookSpinCount="100000" lockStructure="1"/>
  <bookViews>
    <workbookView xWindow="-108" yWindow="-108" windowWidth="23256" windowHeight="12576" tabRatio="763" firstSheet="1" activeTab="3" xr2:uid="{00000000-000D-0000-FFFF-FFFF00000000}"/>
  </bookViews>
  <sheets>
    <sheet name="sadzby" sheetId="4" state="hidden" r:id="rId1"/>
    <sheet name="POMOC" sheetId="11" r:id="rId2"/>
    <sheet name="Postup" sheetId="19" r:id="rId3"/>
    <sheet name="Poistne" sheetId="13" r:id="rId4"/>
    <sheet name="Ponuka" sheetId="14" r:id="rId5"/>
    <sheet name="vstupne_udaje" sheetId="7" state="hidden" r:id="rId6"/>
    <sheet name="PZ" sheetId="6" state="hidden" r:id="rId7"/>
    <sheet name="Priloha_c1" sheetId="16" state="hidden" r:id="rId8"/>
    <sheet name="Priloha_c2" sheetId="17" state="hidden" r:id="rId9"/>
    <sheet name="Potvrdenie_o_zverejneni" sheetId="18" state="hidden" r:id="rId10"/>
  </sheets>
  <functionGroups builtInGroupCount="19"/>
  <externalReferences>
    <externalReference r:id="rId11"/>
  </externalReferences>
  <definedNames>
    <definedName name="aaaa">[1]vstup!$E$2</definedName>
    <definedName name="avizo">Poistne!$C$10</definedName>
    <definedName name="cislo">vstupne_udaje!$D$4</definedName>
    <definedName name="cislo_PZ">vstupne_udaje!$D$4</definedName>
    <definedName name="dd_cnl">Poistne!$C$18</definedName>
    <definedName name="dd_zam">Poistne!$C$30</definedName>
    <definedName name="doba">Poistne!$C$6</definedName>
    <definedName name="odcud">Poistne!$C$20</definedName>
    <definedName name="pocet_zam">Poistne!$C$26</definedName>
    <definedName name="pocet_ziak">Poistne!$C$13</definedName>
    <definedName name="_xlnm.Print_Area" localSheetId="3">Poistne!$A$2:$D$43</definedName>
    <definedName name="_xlnm.Print_Area" localSheetId="4">Ponuka!$B$2:$G$41</definedName>
    <definedName name="_xlnm.Print_Area" localSheetId="2">Postup!$B$1:$BA$41</definedName>
    <definedName name="_xlnm.Print_Area" localSheetId="9">Potvrdenie_o_zverejneni!$C$2:$AX$57</definedName>
    <definedName name="_xlnm.Print_Area" localSheetId="7">Priloha_c1!$C$2:$AX$50</definedName>
    <definedName name="_xlnm.Print_Area" localSheetId="8">Priloha_c2!$C$2:$AX$68</definedName>
    <definedName name="_xlnm.Print_Area" localSheetId="6">PZ!$C$2:$AZ$145</definedName>
    <definedName name="_xlnm.Print_Area" localSheetId="0">sadzby!$A$2:$S$43</definedName>
    <definedName name="print_end_1">PZ!$AZ$145</definedName>
    <definedName name="print_start_1">PZ!$C$2</definedName>
    <definedName name="spolu">Priloha_c1!$W$18</definedName>
    <definedName name="su">Poistne!$C$15</definedName>
    <definedName name="su_2">Poistne!#REF!</definedName>
    <definedName name="su_zam">Poistne!$C$28</definedName>
    <definedName name="subjek">vstupne_udaje!$D$6</definedName>
    <definedName name="t">Poistne!$C$8</definedName>
    <definedName name="test1">Poistne!$G$4</definedName>
    <definedName name="test2">vstupne_udaje!$E$2</definedName>
    <definedName name="tnu">Poistne!$C$16</definedName>
    <definedName name="tnu_2">Poistne!#REF!</definedName>
    <definedName name="tnu_2_zam">Poistne!#REF!</definedName>
    <definedName name="tnu_zam">Poistne!$C$29</definedName>
    <definedName name="tnu2_zam">Poistne!#REF!</definedName>
    <definedName name="tsu_zam">Poistne!#REF!</definedName>
    <definedName name="typ_skoly">Poistne!$C$9</definedName>
    <definedName name="uod">Poistne!$C$17</definedName>
    <definedName name="Variant">vstupne_udaje!$O$2</definedName>
    <definedName name="zam_su">Poistne!#REF!</definedName>
    <definedName name="zamest">Poistne!$E$25</definedName>
    <definedName name="zlava1">Poistne!$C$40</definedName>
    <definedName name="zlava2">Poistne!$C$41</definedName>
    <definedName name="zlava3">Poistne!$C$42</definedName>
    <definedName name="zlavy">Poistne!$E$39</definedName>
    <definedName name="zodpov">Poistne!$C$21</definedName>
    <definedName name="zp">Poistne!$C$19</definedName>
    <definedName name="zp_uc">Poistne!$C$31</definedName>
    <definedName name="zverejni">Poistne!$N$39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3" i="13" l="1"/>
  <c r="N29" i="6"/>
  <c r="N31" i="6"/>
  <c r="P33" i="6"/>
  <c r="Q53" i="4"/>
  <c r="Q54" i="4"/>
  <c r="Q55" i="4"/>
  <c r="Q56" i="4"/>
  <c r="Q57" i="4"/>
  <c r="Q52" i="4"/>
  <c r="M52" i="4"/>
  <c r="H52" i="4"/>
  <c r="C55" i="4"/>
  <c r="C56" i="4"/>
  <c r="C57" i="4"/>
  <c r="C53" i="4"/>
  <c r="C54" i="4"/>
  <c r="C52" i="4"/>
  <c r="D114" i="6" l="1"/>
  <c r="D113" i="6"/>
  <c r="M95" i="13" l="1"/>
  <c r="N95" i="13"/>
  <c r="Q95" i="13" s="1"/>
  <c r="N107" i="13" l="1"/>
  <c r="Q107" i="13" s="1"/>
  <c r="N101" i="13"/>
  <c r="Q101" i="13" s="1"/>
  <c r="R4" i="13" l="1"/>
  <c r="N40" i="13" s="1"/>
  <c r="AB8" i="4"/>
  <c r="G31" i="13"/>
  <c r="G19" i="13"/>
  <c r="AB9" i="4" l="1"/>
  <c r="AD9" i="4" s="1"/>
  <c r="AB10" i="4"/>
  <c r="AD10" i="4" s="1"/>
  <c r="AB11" i="4"/>
  <c r="AD11" i="4" s="1"/>
  <c r="AD8" i="4"/>
  <c r="G11" i="13"/>
  <c r="AA74" i="6"/>
  <c r="AA73" i="6"/>
  <c r="AC11" i="4" l="1"/>
  <c r="AC8" i="4"/>
  <c r="AC10" i="4"/>
  <c r="AC9" i="4"/>
  <c r="M104" i="13"/>
  <c r="N104" i="13"/>
  <c r="Q104" i="13" s="1"/>
  <c r="M105" i="13"/>
  <c r="N105" i="13"/>
  <c r="Q105" i="13" s="1"/>
  <c r="M106" i="13"/>
  <c r="N106" i="13"/>
  <c r="Q106" i="13" s="1"/>
  <c r="M96" i="13"/>
  <c r="N96" i="13"/>
  <c r="Q96" i="13" s="1"/>
  <c r="M97" i="13"/>
  <c r="N97" i="13"/>
  <c r="Q97" i="13" s="1"/>
  <c r="M98" i="13"/>
  <c r="N98" i="13"/>
  <c r="Q98" i="13" s="1"/>
  <c r="M99" i="13"/>
  <c r="N99" i="13"/>
  <c r="Q99" i="13" s="1"/>
  <c r="M100" i="13"/>
  <c r="N100" i="13"/>
  <c r="Q100" i="13" s="1"/>
  <c r="G35" i="13" l="1"/>
  <c r="D46" i="16"/>
  <c r="G10" i="13" l="1"/>
  <c r="N45" i="6" l="1"/>
  <c r="F66" i="6" l="1"/>
  <c r="N37" i="6"/>
  <c r="N36" i="6"/>
  <c r="C34" i="13" l="1"/>
  <c r="G34" i="13" s="1"/>
  <c r="F67" i="6" l="1"/>
  <c r="D85" i="6" l="1"/>
  <c r="D81" i="6"/>
  <c r="D80" i="6"/>
  <c r="D79" i="6"/>
  <c r="F43" i="7" l="1"/>
  <c r="F47" i="7"/>
  <c r="D18" i="6" l="1"/>
  <c r="AC131" i="6" l="1"/>
  <c r="C131" i="6"/>
  <c r="B37" i="14" l="1"/>
  <c r="C35" i="13"/>
  <c r="E46" i="7"/>
  <c r="E42" i="7"/>
  <c r="E34" i="7"/>
  <c r="B32" i="14" l="1"/>
  <c r="B23" i="14"/>
  <c r="C32" i="13"/>
  <c r="C22" i="13"/>
  <c r="G40" i="13"/>
  <c r="G39" i="13" l="1"/>
  <c r="D20" i="16"/>
  <c r="D10" i="17"/>
  <c r="D12" i="17"/>
  <c r="D22" i="16"/>
  <c r="E28" i="7"/>
  <c r="E17" i="7"/>
  <c r="AA81" i="6"/>
  <c r="F68" i="6"/>
  <c r="AA85" i="6"/>
  <c r="AA84" i="6"/>
  <c r="D55" i="6"/>
  <c r="D63" i="6"/>
  <c r="D75" i="6"/>
  <c r="D78" i="6" l="1"/>
  <c r="D77" i="6"/>
  <c r="D72" i="6"/>
  <c r="P34" i="6"/>
  <c r="D22" i="6"/>
  <c r="D17" i="6"/>
  <c r="E26" i="7"/>
  <c r="E25" i="7"/>
  <c r="E24" i="7"/>
  <c r="E23" i="7"/>
  <c r="E19" i="7"/>
  <c r="E18" i="7"/>
  <c r="E15" i="7"/>
  <c r="E14" i="7"/>
  <c r="E13" i="7"/>
  <c r="E12" i="7"/>
  <c r="E11" i="7"/>
  <c r="E5" i="7"/>
  <c r="N17" i="7"/>
  <c r="O17" i="7" s="1"/>
  <c r="N18" i="7"/>
  <c r="O18" i="7" s="1"/>
  <c r="D23" i="6" l="1"/>
  <c r="T31" i="7"/>
  <c r="T33" i="7" s="1"/>
  <c r="T12" i="7"/>
  <c r="T13" i="7" s="1"/>
  <c r="T14" i="7" s="1"/>
  <c r="T15" i="7" s="1"/>
  <c r="T16" i="7" s="1"/>
  <c r="T17" i="7" s="1"/>
  <c r="T18" i="7" s="1"/>
  <c r="T19" i="7" s="1"/>
  <c r="T20" i="7" l="1"/>
  <c r="E16" i="7" s="1"/>
  <c r="T34" i="7"/>
  <c r="T35" i="7" s="1"/>
  <c r="T36" i="7" s="1"/>
  <c r="T37" i="7" s="1"/>
  <c r="T38" i="7" s="1"/>
  <c r="B16" i="7"/>
  <c r="Q145" i="6"/>
  <c r="Q143" i="6"/>
  <c r="Q141" i="6"/>
  <c r="AC137" i="6"/>
  <c r="AC138" i="6"/>
  <c r="T39" i="7" l="1"/>
  <c r="T40" i="7" s="1"/>
  <c r="E27" i="7" s="1"/>
  <c r="D25" i="18"/>
  <c r="D53" i="18"/>
  <c r="D52" i="18"/>
  <c r="D40" i="18"/>
  <c r="D21" i="18"/>
  <c r="D20" i="18"/>
  <c r="D19" i="18"/>
  <c r="D33" i="18"/>
  <c r="D41" i="18"/>
  <c r="AQ2" i="18" l="1"/>
  <c r="D18" i="18"/>
  <c r="D17" i="18"/>
  <c r="D16" i="18"/>
  <c r="D15" i="18"/>
  <c r="AR2" i="17" l="1"/>
  <c r="D21" i="6" l="1"/>
  <c r="D20" i="6"/>
  <c r="D15" i="6"/>
  <c r="D19" i="6"/>
  <c r="AR2" i="16" l="1"/>
  <c r="AR2" i="6"/>
  <c r="D54" i="6"/>
  <c r="N34" i="6"/>
  <c r="N42" i="13" l="1"/>
  <c r="G7" i="13" l="1"/>
  <c r="C137" i="6"/>
  <c r="C138" i="6"/>
  <c r="G16" i="13" l="1"/>
  <c r="G15" i="13"/>
  <c r="K51" i="6" l="1"/>
  <c r="N26" i="6" l="1"/>
  <c r="D16" i="6" l="1"/>
  <c r="E6" i="7" l="1"/>
  <c r="E33" i="7" l="1"/>
  <c r="N21" i="7"/>
  <c r="O21" i="7" s="1"/>
  <c r="B11" i="7"/>
  <c r="B12" i="7"/>
  <c r="N20" i="7" l="1"/>
  <c r="N12" i="7"/>
  <c r="N13" i="7"/>
  <c r="O13" i="7" s="1"/>
  <c r="N14" i="7"/>
  <c r="O14" i="7" s="1"/>
  <c r="N15" i="7"/>
  <c r="O15" i="7" s="1"/>
  <c r="N16" i="7"/>
  <c r="O16" i="7" s="1"/>
  <c r="N19" i="7"/>
  <c r="O19" i="7" s="1"/>
  <c r="N11" i="7"/>
  <c r="C23" i="13" l="1"/>
  <c r="B26" i="14"/>
  <c r="C33" i="13"/>
  <c r="B5" i="14" l="1"/>
  <c r="O20" i="7" l="1"/>
  <c r="O11" i="7"/>
  <c r="O12" i="7" l="1"/>
  <c r="C43" i="13"/>
  <c r="E4" i="7" l="1"/>
  <c r="R25" i="13" l="1"/>
  <c r="Q25" i="13"/>
  <c r="O25" i="13"/>
  <c r="G25" i="13" l="1"/>
  <c r="G29" i="13" l="1"/>
  <c r="G26" i="13"/>
  <c r="G28" i="13"/>
  <c r="G17" i="13" l="1"/>
  <c r="R12" i="13" l="1"/>
  <c r="Q12" i="13"/>
  <c r="O12" i="13"/>
  <c r="G9" i="13"/>
  <c r="G6" i="13" l="1"/>
  <c r="Q4" i="13" l="1"/>
  <c r="N4" i="13" l="1"/>
  <c r="Q5" i="13" s="1"/>
  <c r="B33" i="14" l="1"/>
  <c r="D15" i="16"/>
  <c r="B24" i="14"/>
  <c r="K2" i="13"/>
  <c r="C8" i="13"/>
  <c r="G5" i="13" s="1"/>
  <c r="U4" i="13"/>
  <c r="AA75" i="6" l="1"/>
  <c r="G4" i="13"/>
  <c r="N6" i="13"/>
  <c r="N5" i="13"/>
  <c r="N8" i="13"/>
  <c r="D31" i="14" l="1"/>
  <c r="N31" i="13"/>
  <c r="O31" i="13" s="1"/>
  <c r="D30" i="14"/>
  <c r="W10" i="16"/>
  <c r="W8" i="16"/>
  <c r="D20" i="14"/>
  <c r="Q31" i="13"/>
  <c r="R31" i="13" s="1"/>
  <c r="N19" i="13"/>
  <c r="O19" i="13" s="1"/>
  <c r="N18" i="13"/>
  <c r="N17" i="13"/>
  <c r="N15" i="13"/>
  <c r="N16" i="13"/>
  <c r="N28" i="13"/>
  <c r="Q28" i="13"/>
  <c r="T5" i="13"/>
  <c r="D31" i="13" l="1"/>
  <c r="F31" i="14" s="1"/>
  <c r="T6" i="13"/>
  <c r="U5" i="13"/>
  <c r="U6" i="13" l="1"/>
  <c r="T7" i="13"/>
  <c r="T8" i="13" l="1"/>
  <c r="T9" i="13" s="1"/>
  <c r="T11" i="13" s="1"/>
  <c r="U7" i="13"/>
  <c r="T12" i="13" l="1"/>
  <c r="U8" i="13"/>
  <c r="U9" i="13" s="1"/>
  <c r="U11" i="13" s="1"/>
  <c r="T13" i="13" l="1"/>
  <c r="U12" i="13"/>
  <c r="U13" i="13" l="1"/>
  <c r="T14" i="13"/>
  <c r="T15" i="13" l="1"/>
  <c r="U14" i="13"/>
  <c r="T16" i="13" l="1"/>
  <c r="U15" i="13"/>
  <c r="U16" i="13" l="1"/>
  <c r="V6" i="13" s="1"/>
  <c r="N7" i="13"/>
  <c r="Q15" i="13" l="1"/>
  <c r="Q19" i="13"/>
  <c r="D19" i="13" s="1"/>
  <c r="Q18" i="13"/>
  <c r="Q17" i="13"/>
  <c r="Q16" i="13"/>
  <c r="V5" i="13"/>
  <c r="V4" i="13"/>
  <c r="R19" i="13" l="1"/>
  <c r="F20" i="14" s="1"/>
  <c r="Q20" i="13"/>
  <c r="R20" i="13" s="1"/>
  <c r="R18" i="13"/>
  <c r="D21" i="14"/>
  <c r="R17" i="13"/>
  <c r="D17" i="14"/>
  <c r="D22" i="14"/>
  <c r="D18" i="14"/>
  <c r="N21" i="13"/>
  <c r="O21" i="13" s="1"/>
  <c r="D12" i="14"/>
  <c r="D11" i="14"/>
  <c r="D10" i="14"/>
  <c r="Q30" i="13"/>
  <c r="R30" i="13" s="1"/>
  <c r="N30" i="13"/>
  <c r="N20" i="13"/>
  <c r="D16" i="14"/>
  <c r="Q29" i="13"/>
  <c r="D19" i="14"/>
  <c r="Q21" i="13"/>
  <c r="R21" i="13" s="1"/>
  <c r="R16" i="13"/>
  <c r="D28" i="14"/>
  <c r="E2" i="7"/>
  <c r="N29" i="13"/>
  <c r="D29" i="14"/>
  <c r="R15" i="13"/>
  <c r="R28" i="13"/>
  <c r="O15" i="13"/>
  <c r="W22" i="16" l="1"/>
  <c r="AQ62" i="6"/>
  <c r="AH62" i="6"/>
  <c r="AH52" i="6"/>
  <c r="AQ52" i="6"/>
  <c r="R22" i="13"/>
  <c r="BC2" i="6"/>
  <c r="N32" i="13"/>
  <c r="R29" i="13"/>
  <c r="R32" i="13" s="1"/>
  <c r="Q32" i="13"/>
  <c r="D33" i="13" s="1"/>
  <c r="N22" i="13"/>
  <c r="Q22" i="13"/>
  <c r="W20" i="16"/>
  <c r="W24" i="16"/>
  <c r="D28" i="13"/>
  <c r="D20" i="13"/>
  <c r="O20" i="13"/>
  <c r="D29" i="13"/>
  <c r="O29" i="13"/>
  <c r="D30" i="13"/>
  <c r="O30" i="13"/>
  <c r="D18" i="13"/>
  <c r="O18" i="13"/>
  <c r="D21" i="13"/>
  <c r="D17" i="13"/>
  <c r="O17" i="13"/>
  <c r="D16" i="13"/>
  <c r="O16" i="13"/>
  <c r="O28" i="13"/>
  <c r="W12" i="17"/>
  <c r="AH60" i="6"/>
  <c r="AA87" i="6"/>
  <c r="W10" i="17"/>
  <c r="AH54" i="6"/>
  <c r="D15" i="13"/>
  <c r="AH49" i="6"/>
  <c r="V32" i="17"/>
  <c r="AH61" i="6"/>
  <c r="AA89" i="6"/>
  <c r="V21" i="17"/>
  <c r="AH51" i="6"/>
  <c r="AH50" i="6"/>
  <c r="AH59" i="6"/>
  <c r="AH53" i="6"/>
  <c r="D23" i="13" l="1"/>
  <c r="D36" i="13"/>
  <c r="D44" i="13"/>
  <c r="O22" i="13"/>
  <c r="O32" i="13"/>
  <c r="W12" i="16"/>
  <c r="W17" i="16" s="1"/>
  <c r="F16" i="14"/>
  <c r="AQ49" i="6" s="1"/>
  <c r="F29" i="14"/>
  <c r="AQ60" i="6" s="1"/>
  <c r="F24" i="14"/>
  <c r="F18" i="14"/>
  <c r="F19" i="14"/>
  <c r="F33" i="14"/>
  <c r="W14" i="16"/>
  <c r="AA80" i="6"/>
  <c r="D32" i="13"/>
  <c r="F21" i="14"/>
  <c r="AQ53" i="6" s="1"/>
  <c r="D22" i="13"/>
  <c r="F17" i="14"/>
  <c r="AQ50" i="6" s="1"/>
  <c r="F22" i="14"/>
  <c r="AQ54" i="6" s="1"/>
  <c r="F28" i="14"/>
  <c r="AQ59" i="6" s="1"/>
  <c r="F30" i="14"/>
  <c r="AA79" i="6"/>
  <c r="AY17" i="16" l="1"/>
  <c r="AQ61" i="6"/>
  <c r="AQ51" i="6"/>
  <c r="F32" i="14"/>
  <c r="D43" i="13"/>
  <c r="F23" i="14"/>
  <c r="AA82" i="6" s="1"/>
  <c r="D35" i="13"/>
  <c r="AO29" i="18" l="1"/>
  <c r="W18" i="16"/>
  <c r="AQ63" i="6"/>
  <c r="G32" i="13"/>
  <c r="AA83" i="6"/>
  <c r="AQ55" i="6"/>
  <c r="N41" i="13"/>
  <c r="F37" i="14"/>
  <c r="N39" i="13" l="1"/>
  <c r="O2"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leskova</author>
  </authors>
  <commentList>
    <comment ref="C5" authorId="0" shapeId="0" xr:uid="{00000000-0006-0000-0300-000001000000}">
      <text>
        <r>
          <rPr>
            <b/>
            <sz val="9"/>
            <color indexed="81"/>
            <rFont val="Tahoma"/>
            <family val="2"/>
            <charset val="238"/>
          </rPr>
          <t>Dátum začiatku poistenia</t>
        </r>
        <r>
          <rPr>
            <sz val="9"/>
            <color indexed="81"/>
            <rFont val="Tahoma"/>
            <family val="2"/>
            <charset val="238"/>
          </rPr>
          <t xml:space="preserve"> uveďte v tvare:
DD.MM.RRRR
</t>
        </r>
      </text>
    </comment>
    <comment ref="C7" authorId="0" shapeId="0" xr:uid="{00000000-0006-0000-0300-000002000000}">
      <text>
        <r>
          <rPr>
            <b/>
            <sz val="10"/>
            <color indexed="81"/>
            <rFont val="Arial"/>
            <family val="2"/>
            <charset val="238"/>
          </rPr>
          <t xml:space="preserve">dátum konca poistenia:
</t>
        </r>
        <r>
          <rPr>
            <sz val="10"/>
            <color indexed="81"/>
            <rFont val="Arial"/>
            <family val="2"/>
            <charset val="238"/>
          </rPr>
          <t>uveďte v tvare DD.MM.RRRR</t>
        </r>
        <r>
          <rPr>
            <b/>
            <sz val="10"/>
            <color indexed="81"/>
            <rFont val="Arial"/>
            <family val="2"/>
            <charset val="238"/>
          </rPr>
          <t xml:space="preserve">
30.06. kalendárneho roka - </t>
        </r>
        <r>
          <rPr>
            <sz val="10"/>
            <color indexed="81"/>
            <rFont val="Arial"/>
            <family val="2"/>
            <charset val="238"/>
          </rPr>
          <t>škola</t>
        </r>
        <r>
          <rPr>
            <b/>
            <sz val="10"/>
            <color indexed="81"/>
            <rFont val="Arial"/>
            <family val="2"/>
            <charset val="238"/>
          </rPr>
          <t xml:space="preserve">
koniec poistného roka - </t>
        </r>
        <r>
          <rPr>
            <sz val="10"/>
            <color indexed="81"/>
            <rFont val="Arial"/>
            <family val="2"/>
            <charset val="238"/>
          </rPr>
          <t xml:space="preserve">MŠ
</t>
        </r>
        <r>
          <rPr>
            <b/>
            <sz val="10"/>
            <color indexed="81"/>
            <rFont val="Arial"/>
            <family val="2"/>
            <charset val="238"/>
          </rPr>
          <t>koniec poistného roka</t>
        </r>
        <r>
          <rPr>
            <sz val="10"/>
            <color indexed="81"/>
            <rFont val="Arial"/>
            <family val="2"/>
            <charset val="238"/>
          </rPr>
          <t xml:space="preserve"> - ak sú na PZ poistení aj učitelia
</t>
        </r>
      </text>
    </comment>
    <comment ref="C15" authorId="0" shapeId="0" xr:uid="{00000000-0006-0000-0300-000003000000}">
      <text>
        <r>
          <rPr>
            <b/>
            <sz val="10"/>
            <color indexed="81"/>
            <rFont val="Arial"/>
            <family val="2"/>
            <charset val="238"/>
          </rPr>
          <t xml:space="preserve">povinné riziko
</t>
        </r>
        <r>
          <rPr>
            <sz val="10"/>
            <color indexed="81"/>
            <rFont val="Arial"/>
            <family val="2"/>
            <charset val="238"/>
          </rPr>
          <t>min -    600 EUR 
max - 3.000 EUR</t>
        </r>
      </text>
    </comment>
    <comment ref="C16" authorId="0" shapeId="0" xr:uid="{00000000-0006-0000-0300-000004000000}">
      <text>
        <r>
          <rPr>
            <b/>
            <sz val="10"/>
            <color indexed="81"/>
            <rFont val="Arial"/>
            <family val="2"/>
            <charset val="238"/>
          </rPr>
          <t xml:space="preserve">povinné riziko
</t>
        </r>
        <r>
          <rPr>
            <sz val="10"/>
            <color indexed="81"/>
            <rFont val="Arial"/>
            <family val="2"/>
            <charset val="238"/>
          </rPr>
          <t>min -    500 EUR 
max - 6.000 EUR</t>
        </r>
        <r>
          <rPr>
            <sz val="9"/>
            <color indexed="81"/>
            <rFont val="Tahoma"/>
            <family val="2"/>
            <charset val="238"/>
          </rPr>
          <t xml:space="preserve">
</t>
        </r>
      </text>
    </comment>
    <comment ref="C17" authorId="0" shapeId="0" xr:uid="{00000000-0006-0000-0300-000005000000}">
      <text>
        <r>
          <rPr>
            <sz val="9"/>
            <color indexed="81"/>
            <rFont val="Tahoma"/>
            <family val="2"/>
            <charset val="238"/>
          </rPr>
          <t xml:space="preserve">
min -    300 EUR 
max - 3.000 EUR
</t>
        </r>
      </text>
    </comment>
    <comment ref="C18" authorId="0" shapeId="0" xr:uid="{00000000-0006-0000-0300-000006000000}">
      <text>
        <r>
          <rPr>
            <sz val="9"/>
            <color indexed="81"/>
            <rFont val="Tahoma"/>
            <family val="2"/>
            <charset val="238"/>
          </rPr>
          <t xml:space="preserve">
min -    1,00 EUR 
max -   10,00 EUR
</t>
        </r>
      </text>
    </comment>
    <comment ref="C19" authorId="0" shapeId="0" xr:uid="{2527A6EA-0AA0-4AFD-989F-82FFD2937548}">
      <text>
        <r>
          <rPr>
            <sz val="9"/>
            <color indexed="81"/>
            <rFont val="Tahoma"/>
            <family val="2"/>
            <charset val="238"/>
          </rPr>
          <t xml:space="preserve">
min -    150 EUR 
max -   300 EUR
</t>
        </r>
      </text>
    </comment>
    <comment ref="C20" authorId="0" shapeId="0" xr:uid="{00000000-0006-0000-0300-000007000000}">
      <text>
        <r>
          <rPr>
            <sz val="9"/>
            <color indexed="81"/>
            <rFont val="Tahoma"/>
            <family val="2"/>
            <charset val="238"/>
          </rPr>
          <t xml:space="preserve">
min -    200 EUR 
max - 1.200 EUR
</t>
        </r>
      </text>
    </comment>
    <comment ref="C21" authorId="0" shapeId="0" xr:uid="{00000000-0006-0000-0300-000008000000}">
      <text>
        <r>
          <rPr>
            <sz val="9"/>
            <color indexed="81"/>
            <rFont val="Tahoma"/>
            <family val="2"/>
            <charset val="238"/>
          </rPr>
          <t xml:space="preserve">
min -   1.000 EUR 
max - 20.000 EUR
</t>
        </r>
      </text>
    </comment>
    <comment ref="C28" authorId="0" shapeId="0" xr:uid="{00000000-0006-0000-0300-000009000000}">
      <text>
        <r>
          <rPr>
            <b/>
            <sz val="10"/>
            <color indexed="81"/>
            <rFont val="Arial"/>
            <family val="2"/>
            <charset val="238"/>
          </rPr>
          <t xml:space="preserve">povinné riziko
</t>
        </r>
        <r>
          <rPr>
            <sz val="10"/>
            <color indexed="81"/>
            <rFont val="Arial"/>
            <family val="2"/>
            <charset val="238"/>
          </rPr>
          <t>min -  1.000 EUR 
max - 6.000 EUR</t>
        </r>
        <r>
          <rPr>
            <sz val="9"/>
            <color indexed="81"/>
            <rFont val="Tahoma"/>
            <family val="2"/>
            <charset val="238"/>
          </rPr>
          <t xml:space="preserve">
</t>
        </r>
      </text>
    </comment>
    <comment ref="C29" authorId="0" shapeId="0" xr:uid="{00000000-0006-0000-0300-00000A000000}">
      <text>
        <r>
          <rPr>
            <b/>
            <sz val="10"/>
            <color indexed="81"/>
            <rFont val="Arial"/>
            <family val="2"/>
            <charset val="238"/>
          </rPr>
          <t xml:space="preserve">povinné riziko
</t>
        </r>
        <r>
          <rPr>
            <sz val="10"/>
            <color indexed="81"/>
            <rFont val="Arial"/>
            <family val="2"/>
            <charset val="238"/>
          </rPr>
          <t>min -  1.000 EUR 
max - 6.000 EUR</t>
        </r>
        <r>
          <rPr>
            <sz val="9"/>
            <color indexed="81"/>
            <rFont val="Tahoma"/>
            <family val="2"/>
            <charset val="238"/>
          </rPr>
          <t xml:space="preserve">
</t>
        </r>
      </text>
    </comment>
    <comment ref="C30" authorId="0" shapeId="0" xr:uid="{00000000-0006-0000-0300-00000B000000}">
      <text>
        <r>
          <rPr>
            <sz val="9"/>
            <color indexed="81"/>
            <rFont val="Tahoma"/>
            <family val="2"/>
            <charset val="238"/>
          </rPr>
          <t xml:space="preserve">
min -    1,00 EUR 
max -   10,00 EUR
</t>
        </r>
      </text>
    </comment>
    <comment ref="C31" authorId="0" shapeId="0" xr:uid="{3458F9F4-06F5-473C-81D8-C2756C13BF3B}">
      <text>
        <r>
          <rPr>
            <sz val="9"/>
            <color indexed="81"/>
            <rFont val="Tahoma"/>
            <family val="2"/>
            <charset val="238"/>
          </rPr>
          <t xml:space="preserve">
min -    150 EUR 
max -   500 EUR
</t>
        </r>
      </text>
    </comment>
    <comment ref="N95" authorId="0" shapeId="0" xr:uid="{44B5BC69-8F07-481F-B3A4-9B2458A7C27C}">
      <text>
        <r>
          <rPr>
            <b/>
            <sz val="10"/>
            <color indexed="81"/>
            <rFont val="Arial"/>
            <family val="2"/>
            <charset val="238"/>
          </rPr>
          <t xml:space="preserve">povinné riziko
</t>
        </r>
        <r>
          <rPr>
            <sz val="10"/>
            <color indexed="81"/>
            <rFont val="Arial"/>
            <family val="2"/>
            <charset val="238"/>
          </rPr>
          <t>min -    600 EUR 
max - 3.000 EUR</t>
        </r>
      </text>
    </comment>
    <comment ref="N96" authorId="0" shapeId="0" xr:uid="{BEA4B020-9705-46A8-882A-4330902A4ED8}">
      <text>
        <r>
          <rPr>
            <b/>
            <sz val="10"/>
            <color indexed="81"/>
            <rFont val="Arial"/>
            <family val="2"/>
            <charset val="238"/>
          </rPr>
          <t xml:space="preserve">povinné riziko
</t>
        </r>
        <r>
          <rPr>
            <sz val="10"/>
            <color indexed="81"/>
            <rFont val="Arial"/>
            <family val="2"/>
            <charset val="238"/>
          </rPr>
          <t>min -    500 EUR 
max - 6.000 EUR</t>
        </r>
        <r>
          <rPr>
            <sz val="9"/>
            <color indexed="81"/>
            <rFont val="Tahoma"/>
            <family val="2"/>
            <charset val="238"/>
          </rPr>
          <t xml:space="preserve">
</t>
        </r>
      </text>
    </comment>
    <comment ref="N97" authorId="0" shapeId="0" xr:uid="{DA2C8C8F-8D04-410A-8565-0C40A9258DF1}">
      <text>
        <r>
          <rPr>
            <sz val="9"/>
            <color indexed="81"/>
            <rFont val="Tahoma"/>
            <family val="2"/>
            <charset val="238"/>
          </rPr>
          <t xml:space="preserve">
min -    300 EUR 
max - 3.000 EUR
</t>
        </r>
      </text>
    </comment>
    <comment ref="N98" authorId="0" shapeId="0" xr:uid="{98E45FAA-577A-4DCB-BB3B-D5F4E82964EC}">
      <text>
        <r>
          <rPr>
            <sz val="9"/>
            <color indexed="81"/>
            <rFont val="Tahoma"/>
            <family val="2"/>
            <charset val="238"/>
          </rPr>
          <t xml:space="preserve">
min -    1,00 EUR 
max -   10,00 EUR
</t>
        </r>
      </text>
    </comment>
    <comment ref="N99" authorId="0" shapeId="0" xr:uid="{025489A3-D322-4BAC-9B1C-E3F65F93116C}">
      <text>
        <r>
          <rPr>
            <sz val="9"/>
            <color indexed="81"/>
            <rFont val="Tahoma"/>
            <family val="2"/>
            <charset val="238"/>
          </rPr>
          <t xml:space="preserve">
min -    200 EUR 
max - 1.200 EUR
</t>
        </r>
      </text>
    </comment>
    <comment ref="N100" authorId="0" shapeId="0" xr:uid="{7E1B0915-F5B1-4FF1-BE19-5D7538E81F34}">
      <text>
        <r>
          <rPr>
            <sz val="9"/>
            <color indexed="81"/>
            <rFont val="Tahoma"/>
            <family val="2"/>
            <charset val="238"/>
          </rPr>
          <t xml:space="preserve">
min -   1.000 EUR 
max - 20.000 EUR
</t>
        </r>
      </text>
    </comment>
    <comment ref="N101" authorId="0" shapeId="0" xr:uid="{2DA5302F-7219-4F97-8852-8A9CA6540EA0}">
      <text>
        <r>
          <rPr>
            <sz val="9"/>
            <color indexed="81"/>
            <rFont val="Tahoma"/>
            <family val="2"/>
            <charset val="238"/>
          </rPr>
          <t xml:space="preserve">
min -    150 EUR 
max -   300 EUR
</t>
        </r>
      </text>
    </comment>
    <comment ref="N104" authorId="0" shapeId="0" xr:uid="{6C4E995A-C24F-4C17-8A77-21B4BD5AD112}">
      <text>
        <r>
          <rPr>
            <b/>
            <sz val="10"/>
            <color indexed="81"/>
            <rFont val="Arial"/>
            <family val="2"/>
            <charset val="238"/>
          </rPr>
          <t xml:space="preserve">povinné riziko
</t>
        </r>
        <r>
          <rPr>
            <sz val="10"/>
            <color indexed="81"/>
            <rFont val="Arial"/>
            <family val="2"/>
            <charset val="238"/>
          </rPr>
          <t>min -  1.000 EUR 
max - 6.000 EUR</t>
        </r>
        <r>
          <rPr>
            <sz val="9"/>
            <color indexed="81"/>
            <rFont val="Tahoma"/>
            <family val="2"/>
            <charset val="238"/>
          </rPr>
          <t xml:space="preserve">
</t>
        </r>
      </text>
    </comment>
    <comment ref="N105" authorId="0" shapeId="0" xr:uid="{0F9238F0-BB19-46DD-AD8D-EB0C94947A69}">
      <text>
        <r>
          <rPr>
            <b/>
            <sz val="10"/>
            <color indexed="81"/>
            <rFont val="Arial"/>
            <family val="2"/>
            <charset val="238"/>
          </rPr>
          <t xml:space="preserve">povinné riziko
</t>
        </r>
        <r>
          <rPr>
            <sz val="10"/>
            <color indexed="81"/>
            <rFont val="Arial"/>
            <family val="2"/>
            <charset val="238"/>
          </rPr>
          <t>min -  1.000 EUR 
max - 6.000 EUR</t>
        </r>
        <r>
          <rPr>
            <sz val="9"/>
            <color indexed="81"/>
            <rFont val="Tahoma"/>
            <family val="2"/>
            <charset val="238"/>
          </rPr>
          <t xml:space="preserve">
</t>
        </r>
      </text>
    </comment>
    <comment ref="N106" authorId="0" shapeId="0" xr:uid="{F7532045-AA63-42A8-9931-A62AD6B7A31D}">
      <text>
        <r>
          <rPr>
            <sz val="9"/>
            <color indexed="81"/>
            <rFont val="Tahoma"/>
            <family val="2"/>
            <charset val="238"/>
          </rPr>
          <t xml:space="preserve">
min -    1,00 EUR 
max -   10,00 EUR
</t>
        </r>
      </text>
    </comment>
    <comment ref="N107" authorId="0" shapeId="0" xr:uid="{B976D9A6-C870-489F-9570-A68B1E0691A7}">
      <text>
        <r>
          <rPr>
            <sz val="9"/>
            <color indexed="81"/>
            <rFont val="Tahoma"/>
            <family val="2"/>
            <charset val="238"/>
          </rPr>
          <t xml:space="preserve">
min -    150 EUR 
max -   500 EUR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hulmanova</author>
  </authors>
  <commentList>
    <comment ref="D16" authorId="0" shapeId="0" xr:uid="{00000000-0006-0000-0500-000001000000}">
      <text>
        <r>
          <rPr>
            <b/>
            <sz val="9"/>
            <color indexed="81"/>
            <rFont val="Tahoma"/>
            <family val="2"/>
            <charset val="238"/>
          </rPr>
          <t>nie je potrebné vyplniť</t>
        </r>
      </text>
    </comment>
    <comment ref="D27" authorId="0" shapeId="0" xr:uid="{00000000-0006-0000-0500-000002000000}">
      <text>
        <r>
          <rPr>
            <b/>
            <sz val="9"/>
            <color indexed="81"/>
            <rFont val="Tahoma"/>
            <family val="2"/>
            <charset val="238"/>
          </rPr>
          <t>nie je povinné vyplniť</t>
        </r>
      </text>
    </comment>
  </commentList>
</comments>
</file>

<file path=xl/sharedStrings.xml><?xml version="1.0" encoding="utf-8"?>
<sst xmlns="http://schemas.openxmlformats.org/spreadsheetml/2006/main" count="618" uniqueCount="334">
  <si>
    <t>Ročné poistné</t>
  </si>
  <si>
    <t>ročné poistné</t>
  </si>
  <si>
    <t>škola</t>
  </si>
  <si>
    <t>Trvalé následky úrazu*</t>
  </si>
  <si>
    <t>Smrť v dôsledku úrazu*</t>
  </si>
  <si>
    <t>Úrazové odškodnenie</t>
  </si>
  <si>
    <t>Odcudzenie</t>
  </si>
  <si>
    <t>Poistná suma</t>
  </si>
  <si>
    <t>odborná škola</t>
  </si>
  <si>
    <t>športová škola</t>
  </si>
  <si>
    <t>tnu</t>
  </si>
  <si>
    <t>su</t>
  </si>
  <si>
    <t>uod</t>
  </si>
  <si>
    <t>o</t>
  </si>
  <si>
    <t>Union poisťovňa, a.s.</t>
  </si>
  <si>
    <t>Vstupné parametre:</t>
  </si>
  <si>
    <t>Veríme, že Vás naša ponuka poistenia zaujala a za prejavenú dôveru vopred ďakujeme.</t>
  </si>
  <si>
    <t>Typ zariadenia:</t>
  </si>
  <si>
    <t>Počet žiakov:</t>
  </si>
  <si>
    <t>Miesto poistenia:</t>
  </si>
  <si>
    <t>Pre toto poistenie platia:</t>
  </si>
  <si>
    <t>Miesto poistenia</t>
  </si>
  <si>
    <t>Predmet poistenia</t>
  </si>
  <si>
    <t>a)</t>
  </si>
  <si>
    <t>Smrť poisteného v dôsledku úrazu</t>
  </si>
  <si>
    <t>Trvalé následky poisteného v dôsledku úrazu</t>
  </si>
  <si>
    <t>1.</t>
  </si>
  <si>
    <t>2.</t>
  </si>
  <si>
    <t>a</t>
  </si>
  <si>
    <t>IČO:</t>
  </si>
  <si>
    <t>POISTNÁ ZMLUVA</t>
  </si>
  <si>
    <t>b)</t>
  </si>
  <si>
    <t>Koniec poistenia:</t>
  </si>
  <si>
    <t>Začiatok poistenia:</t>
  </si>
  <si>
    <t>Údaje o poistníkovi</t>
  </si>
  <si>
    <t>NÁZOV ŠKOLY:</t>
  </si>
  <si>
    <t>ČÍSLO POISTNEJ ZMLUVY:</t>
  </si>
  <si>
    <t>ADRESA ŠKOLY:</t>
  </si>
  <si>
    <t>PSČ:</t>
  </si>
  <si>
    <t>OBEC:</t>
  </si>
  <si>
    <t>Zodpovednost</t>
  </si>
  <si>
    <t>z</t>
  </si>
  <si>
    <t>Vypracoval:</t>
  </si>
  <si>
    <t xml:space="preserve">Pre korektné fungovanie výpočtových programov v MS Office Excel 2007 treba mať povolené makrá a ovládacie prvky. </t>
  </si>
  <si>
    <t>Slovenská verzia:</t>
  </si>
  <si>
    <t>Anglická verzia:</t>
  </si>
  <si>
    <t xml:space="preserve"> V ľavom hornom rohu „tlačidlo Office“ -&gt; kliknúť na tlačidlo v dolnej lište otvoreného menu  „Možnosti programu Excel“</t>
  </si>
  <si>
    <t>V ľavom hornom rohu „tlačidlo Office“ -&gt; kliknúť na tlačidlo v dolnej lište otvoreného menu  „Excel Options“</t>
  </si>
  <si>
    <t>Vybrať vľavo v menu  „Centrum dôveryhodnosti“ -&gt; kliknúť na tlačidlo vpravo dole  „Nastavenie centra dôveryhodnosti“</t>
  </si>
  <si>
    <t>Vybrať vľavo v menu  „Trust Center“ -&gt; kliknúť na tlačidlo vpravo dole  „Trust Settings Center"</t>
  </si>
  <si>
    <t>V okne, ktoré sa objaví, vybrať vľavo v menu „Nastavenie makra“ a zakliknúť štvrtú položku „Povoliť všetky makrá...“ zo zoznamu možností, ktoré sa objavia a potvrdiť tlačidlom „OK“.</t>
  </si>
  <si>
    <t>V okne, ktoré sa objaví, vybrať vľavo v menu „Macro Settings“ a zakliknúť štvrtú položku „Enable all macros...“  zo zoznamu možností, ktoré sa objavia a potvrdiť tlačidlom „OK</t>
  </si>
  <si>
    <t>V rovnakom okne „Centrum dôveryhodnosti“ ešte vybrať vľavo v menu „Nastavenie ActiveX“ a zakliknúť štvrtú položku „Povoliť všetky ovládacie prvky...“ zo zoznamu možností, ktoré sa objavia a potvrdiť tlačidlom „OK“.</t>
  </si>
  <si>
    <t>V rovnakom okne „Centrum dôveryhodnosti“ ešte vybrať vľavo v menu „ActiveX Settings“ a zakliknúť štvrtú položku „Enable all controls...“ zo zoznamu možností, ktoré sa objavia a potvrdiť tlačidlom „OK“.</t>
  </si>
  <si>
    <t xml:space="preserve">Aby sa takéto nové nastavenie uchovalo, je potrebné zatvoriť Excel a potom ho opätovne otvoriť. </t>
  </si>
  <si>
    <t>IČO 31 322 051 / DIČ 2020800353</t>
  </si>
  <si>
    <t>zapísaná v Obchodnom registri Okresného súdu Bratislava I, odd. Sa, vl. č. 383/B</t>
  </si>
  <si>
    <t>(ďalej len „poisťovateľ“)</t>
  </si>
  <si>
    <t xml:space="preserve">a) </t>
  </si>
  <si>
    <t>číslo účtu: IBAN: SK59 1111 0000 0066 0054 7090, BIC: UNCRSKBX</t>
  </si>
  <si>
    <t>FUNKCIA ŠTATUTÁR. ZÁSTUPCU:</t>
  </si>
  <si>
    <t>Rozsah poistenia:</t>
  </si>
  <si>
    <t>Poistné</t>
  </si>
  <si>
    <t>podpis poistníka/
osoby oprávnenej konať za poistníka</t>
  </si>
  <si>
    <t>Číslo obch. zmluvy:</t>
  </si>
  <si>
    <t>Meno získateľa:</t>
  </si>
  <si>
    <t>Číslo získateľa / Panel:</t>
  </si>
  <si>
    <t>Denná dávka za ČNL (od 8. dňa)</t>
  </si>
  <si>
    <t>SADZBY ŽIACI</t>
  </si>
  <si>
    <t>SADZBY ZAMESTNANCI</t>
  </si>
  <si>
    <t>DD ČNL 
(od 8. dňa)</t>
  </si>
  <si>
    <t>Vstupné údaje</t>
  </si>
  <si>
    <t xml:space="preserve">dátum začiatku poistenia </t>
  </si>
  <si>
    <t xml:space="preserve">poistná doba </t>
  </si>
  <si>
    <t xml:space="preserve">dátum konca poistenia </t>
  </si>
  <si>
    <t xml:space="preserve">typ školy </t>
  </si>
  <si>
    <t xml:space="preserve">dátum konca poistenia - DN </t>
  </si>
  <si>
    <t>POISTNÉ KRYTIE - ŽIACI</t>
  </si>
  <si>
    <t xml:space="preserve">počet žiakov </t>
  </si>
  <si>
    <t>Poistné sumy</t>
  </si>
  <si>
    <t xml:space="preserve">trvalé následky úrazu </t>
  </si>
  <si>
    <t xml:space="preserve">smrť v dôsledku úrazu </t>
  </si>
  <si>
    <t xml:space="preserve">úrazové odškodnenie detí </t>
  </si>
  <si>
    <t xml:space="preserve">odcudzenie </t>
  </si>
  <si>
    <t xml:space="preserve">zodpovednosť žiaka </t>
  </si>
  <si>
    <t xml:space="preserve">denná dávka za čas nevyhnutného liečenia úrazu (od 8. dňa) </t>
  </si>
  <si>
    <t>dd_cnl</t>
  </si>
  <si>
    <t>počet zamestnancov</t>
  </si>
  <si>
    <r>
      <t xml:space="preserve">Úrazové poistenie žiakov </t>
    </r>
    <r>
      <rPr>
        <b/>
        <sz val="18.5"/>
        <color indexed="9"/>
        <rFont val="Symbol"/>
        <family val="1"/>
        <charset val="2"/>
      </rPr>
      <t>-</t>
    </r>
    <r>
      <rPr>
        <b/>
        <sz val="18.5"/>
        <color indexed="9"/>
        <rFont val="Arial"/>
        <family val="2"/>
        <charset val="238"/>
      </rPr>
      <t xml:space="preserve"> 118</t>
    </r>
  </si>
  <si>
    <t xml:space="preserve">Zľava za počet osôb </t>
  </si>
  <si>
    <t xml:space="preserve">Zľava za beškodový priebeh </t>
  </si>
  <si>
    <t xml:space="preserve">zaciatok </t>
  </si>
  <si>
    <t>poradie</t>
  </si>
  <si>
    <t>mesiac</t>
  </si>
  <si>
    <t xml:space="preserve">Ročné poistné </t>
  </si>
  <si>
    <t>pocet mesiacov - ziak</t>
  </si>
  <si>
    <t>pocet mesiacov - zamest</t>
  </si>
  <si>
    <t>koniec - ziak</t>
  </si>
  <si>
    <t>koniec - zamest</t>
  </si>
  <si>
    <t>Zľava nadštandard</t>
  </si>
  <si>
    <t>Dojednané poistné krytie pre žiakov:</t>
  </si>
  <si>
    <t xml:space="preserve">Úrazové odškodnenie detí </t>
  </si>
  <si>
    <t>Denná dávka za čas nevyhnutného liečenia</t>
  </si>
  <si>
    <t>Počet zamestnancov:</t>
  </si>
  <si>
    <t>Vám ponúka</t>
  </si>
  <si>
    <t>Zodpovednosť žiaka za škodu spôsobenú škole 
(spoluúčasť je vo výške 30,00 EUR)</t>
  </si>
  <si>
    <t xml:space="preserve">Poistné  </t>
  </si>
  <si>
    <t>ÚRAZOVÉ POISTENIE ŽIAKOV - 118</t>
  </si>
  <si>
    <t>SPROSTREDKOVATEĽ:</t>
  </si>
  <si>
    <t>FUNKCIA SPROSTREDKOVATEĽA:</t>
  </si>
  <si>
    <t>Počiatočné údaje</t>
  </si>
  <si>
    <r>
      <t xml:space="preserve">JE POISTNÍK ŠTÁTNA INŠTITÚCIA, 
</t>
    </r>
    <r>
      <rPr>
        <sz val="10"/>
        <color indexed="8"/>
        <rFont val="Arial"/>
        <family val="2"/>
        <charset val="238"/>
      </rPr>
      <t>t.j. má povinnosť zverejnovať zmluvy podľa zákona č. 211/2000</t>
    </r>
    <r>
      <rPr>
        <b/>
        <sz val="10"/>
        <color indexed="8"/>
        <rFont val="Arial"/>
        <family val="2"/>
        <charset val="238"/>
      </rPr>
      <t>?</t>
    </r>
  </si>
  <si>
    <r>
      <t xml:space="preserve">ŠKOLA MÁ PRAVNÚ SUBJEKTIVITU 
</t>
    </r>
    <r>
      <rPr>
        <sz val="10"/>
        <color indexed="8"/>
        <rFont val="Arial"/>
        <family val="2"/>
        <charset val="238"/>
      </rPr>
      <t>podľa § 27 ods. 6 zákona č. 245/2008</t>
    </r>
    <r>
      <rPr>
        <b/>
        <sz val="10"/>
        <color indexed="8"/>
        <rFont val="Arial"/>
        <family val="2"/>
        <charset val="238"/>
      </rPr>
      <t>?</t>
    </r>
  </si>
  <si>
    <t>MENO ŠTATUTÁR. ZÁSTUPCU:</t>
  </si>
  <si>
    <t>Údaje o sprostredkovateľovi / získateľovi</t>
  </si>
  <si>
    <t>Údaje o škole</t>
  </si>
  <si>
    <t>ČÍSLO ÚČTU:</t>
  </si>
  <si>
    <t>hide</t>
  </si>
  <si>
    <t>Číslo poistnej zmluvy:</t>
  </si>
  <si>
    <t>•</t>
  </si>
  <si>
    <t>Všeobecné poistné podmienky pre úrazové poistenie (ďalej len „VPP ÚP“),</t>
  </si>
  <si>
    <t>Osobitné dojednania pre úrazové poistenie žiakov ku VPP ÚP (ďalej len „OD ÚPŽ“),</t>
  </si>
  <si>
    <t>Osobitné dojednania poistenia vecí žiakov pre prípad krádeže ku VPP ÚP (ďalej len „OD PV“),</t>
  </si>
  <si>
    <t>Osobitné dojednania pre poistenie zodpovednosti žiaka za škodu ku VPP ÚP (ďalej len „OD PZ“),</t>
  </si>
  <si>
    <t>ktoré sú priložené k tejto poistnej zmluve.</t>
  </si>
  <si>
    <t>Tabuľka č.2 Dojednané poistné krytie pre zamestnancov</t>
  </si>
  <si>
    <t>Tabuľka č.1 Dojednané poistné krytie pre žiakov</t>
  </si>
  <si>
    <t>Práva a povinnosti poistníka</t>
  </si>
  <si>
    <t>Hlásenie a vybavovanie poistných udalostí</t>
  </si>
  <si>
    <t>3.</t>
  </si>
  <si>
    <t>4.</t>
  </si>
  <si>
    <t>K uplatneniu nároku na poistné plnenie z úrazového poistenia je nutné splniť povinnosti uvedené v článku 8 ods. 4 VPP ÚP a v článku Práva a povinnosti poistníka.</t>
  </si>
  <si>
    <t>Všeobecné ustanovenia</t>
  </si>
  <si>
    <t>5.</t>
  </si>
  <si>
    <t>6.</t>
  </si>
  <si>
    <t>7.</t>
  </si>
  <si>
    <t>8.</t>
  </si>
  <si>
    <t>9.</t>
  </si>
  <si>
    <t>10.</t>
  </si>
  <si>
    <t>11.</t>
  </si>
  <si>
    <t>Poistený, poistník ani oprávnená osoba sa nepodieľajú na výnosoch poisťovateľa.</t>
  </si>
  <si>
    <t>Príjmy poisťovateľa, poisteného a oprávnených osôb z poistnej zmluvy podliehajú zdaneniu v zmysle všeobecne záväzných právnych predpisov platných na území Slovenskej republiky. Zákon č. 595/2003 Z.z. o dani z príjmov v znení neskorších predpisov ustanovuje, ktoré plnenia z poistenia sú oslobodené od dane z príjmov, ako aj odpočítateľné položky, resp. iné daňové náležitosti týkajúce sa poistenia.</t>
  </si>
  <si>
    <t>Osobitne sa dojednáva, že poistenie môže vypovedať podľa § 800 ods. 2 Občianskeho zákonníka ktorákoľvek zmluvná strana (poistník i poisťovateľ) do dvoch mesiacov po uzavretí poistnej zmluvy. Výpovedná lehota je osemdenná a jej uplynutím poistenie zanikne.</t>
  </si>
  <si>
    <t>Odchýlne od čl. 15 ods. 6 VPP ÚP  sa dojednáva, že poistenie nezanikne smrťou poisteného.</t>
  </si>
  <si>
    <t>V prípade, ak poistník nedoručí poisťovateľovi potvrdenie o zverejnení tejto poistnej zmluvy/dodatku v lehote do dvoch mesiacov od jej uzavretia, táto poistná zmluva/dodatok zanikne. To neplatí ak v tejto lehote bude poistná zmluva/dodatok zverejnená v Obchodnom vestníku.</t>
  </si>
  <si>
    <t>c)</t>
  </si>
  <si>
    <t>Vyhlásenie poistníka</t>
  </si>
  <si>
    <t xml:space="preserve">Druh poistného </t>
  </si>
  <si>
    <t>Poistná doba</t>
  </si>
  <si>
    <t>Druhé a ďalšie poistné obdobia</t>
  </si>
  <si>
    <t>Bankové spojenie</t>
  </si>
  <si>
    <t>Variabilný symbol</t>
  </si>
  <si>
    <t>uvedený v Prílohe č. 1</t>
  </si>
  <si>
    <t>od 1.9. príslušného kalendárneho roka do 31.8. nasledujúceho kalendárneho roka</t>
  </si>
  <si>
    <t>IBAN: SK59 1111 0000 0066 0054 7090,
 BIC: UNCRSKBX
UniCredit Bank Czech Republik and Slovakia, pobočka zahraničnej banky</t>
  </si>
  <si>
    <t>01.09. príslušného kalendárneho roka</t>
  </si>
  <si>
    <t>MIESTO PODPISU ZA POISTNÍKA</t>
  </si>
  <si>
    <t>DÁTUM</t>
  </si>
  <si>
    <t>MIESTO PODPISU ZA POISŤOVATEĽA</t>
  </si>
  <si>
    <t>..................................................</t>
  </si>
  <si>
    <t>za poistníka</t>
  </si>
  <si>
    <t>za poisťovateľa</t>
  </si>
  <si>
    <t>Zverejnenie PZ:</t>
  </si>
  <si>
    <t>1 rok:</t>
  </si>
  <si>
    <t>poistné:</t>
  </si>
  <si>
    <t>DN:</t>
  </si>
  <si>
    <t>yes</t>
  </si>
  <si>
    <t>Príloha č.</t>
  </si>
  <si>
    <t>Počet poistených žiakov:</t>
  </si>
  <si>
    <t>Počet poistených zamestnancov:</t>
  </si>
  <si>
    <t>Dátum účinnosti zmeny:</t>
  </si>
  <si>
    <t>Aktuálne poistné obdobie</t>
  </si>
  <si>
    <t>Nasledujúce poistné obdobia</t>
  </si>
  <si>
    <t>Ročné poistné za prílohu č. 2:</t>
  </si>
  <si>
    <t>Dátum splatnosti poistného za prílohu č. 2 v aktuálnom poistnom období:</t>
  </si>
  <si>
    <t>Spôsob platby poistného:</t>
  </si>
  <si>
    <t>Ročné poistné za PZ + príloha č. 2:</t>
  </si>
  <si>
    <t>Dátum splatnosti poistného:</t>
  </si>
  <si>
    <t>Variabilný symbol:</t>
  </si>
  <si>
    <t>Popis predmetu poistnej zmluvy:</t>
  </si>
  <si>
    <t>Hodnota predmetu poistnej zmluvy:</t>
  </si>
  <si>
    <t>Dátum zverejnenia poistnej zmluvy:</t>
  </si>
  <si>
    <r>
      <t xml:space="preserve">Hromadné úrazové poistenie žiakov </t>
    </r>
    <r>
      <rPr>
        <sz val="10.5"/>
        <rFont val="Symbol"/>
        <family val="1"/>
        <charset val="2"/>
      </rPr>
      <t>-</t>
    </r>
    <r>
      <rPr>
        <sz val="10.5"/>
        <rFont val="Arial"/>
        <family val="2"/>
        <charset val="238"/>
      </rPr>
      <t xml:space="preserve"> 118</t>
    </r>
  </si>
  <si>
    <t>Za poisťovateľa prevzal</t>
  </si>
  <si>
    <t>V ................................... , dňa ..............</t>
  </si>
  <si>
    <t>prezenčná pečiatka podateľne</t>
  </si>
  <si>
    <t>POSTUP PRI DOJEDNÁVANÍ ÚRAZOVÉHO POISTENIA ŽIAKOV - 118:</t>
  </si>
  <si>
    <t>●</t>
  </si>
  <si>
    <t>poistná zmluva je na dobu neurčitú,</t>
  </si>
  <si>
    <r>
      <rPr>
        <b/>
        <sz val="11"/>
        <rFont val="Arial Narrow"/>
        <family val="2"/>
        <charset val="238"/>
      </rPr>
      <t>Overenie právnej subjektivity školy</t>
    </r>
    <r>
      <rPr>
        <sz val="11"/>
        <rFont val="Arial Narrow"/>
        <family val="2"/>
        <charset val="238"/>
      </rPr>
      <t xml:space="preserve"> (t.j. či je škola zriadená ako právnická osoba). Podľa § 27 ods. 6 zákona č. 245/2008 Z.z. o výchove a vzdelávaní má škola právnu subjektivitu, ak tak rozhodol jej zriaďovateľ (orgán miestnej štátnej správy).</t>
    </r>
  </si>
  <si>
    <r>
      <t>V liste „</t>
    </r>
    <r>
      <rPr>
        <i/>
        <sz val="11"/>
        <rFont val="Arial Narrow"/>
        <family val="2"/>
        <charset val="238"/>
      </rPr>
      <t>Poistne</t>
    </r>
    <r>
      <rPr>
        <sz val="11"/>
        <rFont val="Arial Narrow"/>
        <family val="2"/>
        <charset val="238"/>
      </rPr>
      <t xml:space="preserve">“ zadať </t>
    </r>
    <r>
      <rPr>
        <b/>
        <sz val="11"/>
        <rFont val="Arial Narrow"/>
        <family val="2"/>
        <charset val="238"/>
      </rPr>
      <t>vstupné údaje o požadovanom poistnom krytí</t>
    </r>
    <r>
      <rPr>
        <sz val="11"/>
        <rFont val="Arial Narrow"/>
        <family val="2"/>
        <charset val="238"/>
      </rPr>
      <t>.</t>
    </r>
  </si>
  <si>
    <r>
      <rPr>
        <b/>
        <sz val="11"/>
        <rFont val="Arial Narrow"/>
        <family val="2"/>
        <charset val="238"/>
      </rPr>
      <t>Vypísanie údajov do zmluvy</t>
    </r>
    <r>
      <rPr>
        <sz val="11"/>
        <rFont val="Arial Narrow"/>
        <family val="2"/>
        <charset val="238"/>
      </rPr>
      <t xml:space="preserve"> </t>
    </r>
    <r>
      <rPr>
        <sz val="11"/>
        <rFont val="Symbol"/>
        <family val="1"/>
        <charset val="2"/>
      </rPr>
      <t>-</t>
    </r>
    <r>
      <rPr>
        <sz val="11"/>
        <rFont val="Arial Narrow"/>
        <family val="2"/>
        <charset val="238"/>
      </rPr>
      <t xml:space="preserve"> v liste „vstup“ vypísať údaje potrebné na vyplnenie PZ.
V prípade, že niektorý povinný údaj nie je vyplnený, objaví sa upozornenie „</t>
    </r>
    <r>
      <rPr>
        <i/>
        <sz val="11"/>
        <rFont val="Arial Narrow"/>
        <family val="2"/>
        <charset val="238"/>
      </rPr>
      <t>Údaj je potrebné vyplniť!</t>
    </r>
    <r>
      <rPr>
        <sz val="11"/>
        <rFont val="Arial Narrow"/>
        <family val="2"/>
        <charset val="238"/>
      </rPr>
      <t>“.</t>
    </r>
  </si>
  <si>
    <t>Kontrola IBAN u poistníka</t>
  </si>
  <si>
    <t>IBAN bez medzier</t>
  </si>
  <si>
    <t>štát+kontrólne číslo na koniec</t>
  </si>
  <si>
    <t>namiesto štátu čísla</t>
  </si>
  <si>
    <t>MOD 97 prvých 9 číslic</t>
  </si>
  <si>
    <t>zvyšok+7číslic</t>
  </si>
  <si>
    <t>kontrólne číslo (MOD 97 = 1 ok)</t>
  </si>
  <si>
    <t>kontrola (ak prázdne ok)</t>
  </si>
  <si>
    <t>Kontrola IBAN u školy</t>
  </si>
  <si>
    <t xml:space="preserve">Variant pre tlač:  </t>
  </si>
  <si>
    <t xml:space="preserve"> - PZ + Príloha č. 1</t>
  </si>
  <si>
    <t xml:space="preserve"> - PZ + Príloha č. 1 + Zverejnenie</t>
  </si>
  <si>
    <t xml:space="preserve"> - PZ + Príloha č. 1 + Príloha č. 2</t>
  </si>
  <si>
    <t xml:space="preserve"> - PZ + Príloha č. 1 + Príloha č. 2 + Zverejnenie</t>
  </si>
  <si>
    <t>meno, priezvisko, rodné číslo alebo dátum narodenia, adresu trvalého bydliska a skupinu poistenia (žiak, zamest.).</t>
  </si>
  <si>
    <r>
      <t>Ponuku (nezáväznú) pre klienta je možné vytlačiť v liste „</t>
    </r>
    <r>
      <rPr>
        <i/>
        <sz val="11"/>
        <rFont val="Arial Narrow"/>
        <family val="2"/>
        <charset val="238"/>
      </rPr>
      <t>Ponuka</t>
    </r>
    <r>
      <rPr>
        <sz val="11"/>
        <rFont val="Arial Narrow"/>
        <family val="2"/>
        <charset val="238"/>
      </rPr>
      <t>“.</t>
    </r>
  </si>
  <si>
    <r>
      <rPr>
        <b/>
        <sz val="11"/>
        <rFont val="Arial Narrow"/>
        <family val="2"/>
        <charset val="238"/>
      </rPr>
      <t>Tlač zmluvy</t>
    </r>
    <r>
      <rPr>
        <sz val="11"/>
        <rFont val="Arial Narrow"/>
        <family val="2"/>
        <charset val="238"/>
      </rPr>
      <t xml:space="preserve"> </t>
    </r>
    <r>
      <rPr>
        <sz val="11"/>
        <rFont val="Symbol"/>
        <family val="1"/>
        <charset val="2"/>
      </rPr>
      <t>-</t>
    </r>
    <r>
      <rPr>
        <sz val="11"/>
        <rFont val="Arial Narrow"/>
        <family val="2"/>
        <charset val="238"/>
      </rPr>
      <t xml:space="preserve"> v liste „</t>
    </r>
    <r>
      <rPr>
        <i/>
        <sz val="11"/>
        <rFont val="Arial Narrow"/>
        <family val="2"/>
        <charset val="238"/>
      </rPr>
      <t>PZ</t>
    </r>
    <r>
      <rPr>
        <sz val="11"/>
        <rFont val="Arial Narrow"/>
        <family val="2"/>
        <charset val="238"/>
      </rPr>
      <t>“ stlačením tlačidla „</t>
    </r>
    <r>
      <rPr>
        <b/>
        <i/>
        <sz val="11"/>
        <rFont val="Arial Narrow"/>
        <family val="2"/>
        <charset val="238"/>
      </rPr>
      <t>Tlač PZ!</t>
    </r>
    <r>
      <rPr>
        <sz val="11"/>
        <rFont val="Arial Narrow"/>
        <family val="2"/>
        <charset val="238"/>
      </rPr>
      <t xml:space="preserve">“ sa vytlačia  2 exempláre PZ spolu s prílohami, ktoré sa zobrazia na jednotlivých listoch ponuky.
Pomocou kláves </t>
    </r>
    <r>
      <rPr>
        <b/>
        <i/>
        <sz val="11"/>
        <rFont val="Arial Narrow"/>
        <family val="2"/>
        <charset val="238"/>
      </rPr>
      <t>CTRL + P</t>
    </r>
    <r>
      <rPr>
        <sz val="11"/>
        <rFont val="Arial Narrow"/>
        <family val="2"/>
        <charset val="238"/>
      </rPr>
      <t xml:space="preserve"> je možné vytlačiť každý list zošitu samostatne.
</t>
    </r>
  </si>
  <si>
    <r>
      <rPr>
        <b/>
        <sz val="11"/>
        <rFont val="Arial Narrow"/>
        <family val="2"/>
        <charset val="238"/>
      </rPr>
      <t>Prílohy k zmluve</t>
    </r>
    <r>
      <rPr>
        <sz val="11"/>
        <rFont val="Arial Narrow"/>
        <family val="2"/>
        <charset val="238"/>
      </rPr>
      <t xml:space="preserve">
</t>
    </r>
  </si>
  <si>
    <t>Prílohe č. 1</t>
  </si>
  <si>
    <r>
      <t xml:space="preserve">Prílohe č. 2 </t>
    </r>
    <r>
      <rPr>
        <b/>
        <sz val="11"/>
        <rFont val="Symbol"/>
        <family val="1"/>
        <charset val="2"/>
      </rPr>
      <t>-</t>
    </r>
    <r>
      <rPr>
        <b/>
        <sz val="11"/>
        <rFont val="Arial Narrow"/>
        <family val="2"/>
        <charset val="238"/>
      </rPr>
      <t xml:space="preserve"> </t>
    </r>
    <r>
      <rPr>
        <sz val="11"/>
        <rFont val="Arial Narrow"/>
        <family val="2"/>
        <charset val="238"/>
      </rPr>
      <t xml:space="preserve">v liste „Priloha_c2“ sa nevypĺňajú žiadne údaje v prípade, ak sa tento list zobrazí v ponuke (slúži pre zasielanie zmien poistených osôb).
</t>
    </r>
    <r>
      <rPr>
        <u/>
        <sz val="11"/>
        <rFont val="Arial Narrow"/>
        <family val="2"/>
        <charset val="238"/>
      </rPr>
      <t>Príloha č. 2 sa prikladá k PZ, ktorá je určená pre školu bez právnej subjektivity !!!</t>
    </r>
    <r>
      <rPr>
        <b/>
        <sz val="11"/>
        <rFont val="Arial Narrow"/>
        <family val="2"/>
        <charset val="238"/>
      </rPr>
      <t xml:space="preserve">
</t>
    </r>
  </si>
  <si>
    <r>
      <rPr>
        <b/>
        <sz val="11"/>
        <rFont val="Arial Narrow"/>
        <family val="2"/>
        <charset val="238"/>
      </rPr>
      <t>Podpisy poistníka a sprostredkovateľa</t>
    </r>
    <r>
      <rPr>
        <sz val="11"/>
        <rFont val="Arial Narrow"/>
        <family val="2"/>
        <charset val="238"/>
      </rPr>
      <t xml:space="preserve">
</t>
    </r>
  </si>
  <si>
    <t>Vytlačenú a skontrolovanú PZ podpisuje poistník a sprostredkovateľ na poslednej strane PZ. Na obidvoch vyhotoveniach PZ musia byť originály podpisov poistníka a sprostredkovateľa.</t>
  </si>
  <si>
    <t>Vytlačenú a skontrolovanú Prílohu č. 1 podpisuje poistník. Na obidvoch vyhotoveniach prílohy č. 1 musí byť originál podpisu poistníka.</t>
  </si>
  <si>
    <t>Príloha č. 2 sa nepodpisuje !!!</t>
  </si>
  <si>
    <t>Vytlačené a skontrolované Potvrdenie o zverejnení podpisuje poistník a sprostredkovateľ.</t>
  </si>
  <si>
    <r>
      <t xml:space="preserve">poistná zmluva je na dobu určitú a celkové poistné za zmluvu je </t>
    </r>
    <r>
      <rPr>
        <sz val="11"/>
        <rFont val="Symbol"/>
        <family val="1"/>
        <charset val="2"/>
      </rPr>
      <t>³</t>
    </r>
    <r>
      <rPr>
        <sz val="11"/>
        <rFont val="Arial Narrow"/>
        <family val="2"/>
        <charset val="238"/>
      </rPr>
      <t xml:space="preserve"> 200 Eur</t>
    </r>
  </si>
  <si>
    <r>
      <rPr>
        <b/>
        <sz val="11"/>
        <rFont val="Arial Narrow"/>
        <family val="2"/>
        <charset val="238"/>
      </rPr>
      <t>Odoslanie zmluvy</t>
    </r>
    <r>
      <rPr>
        <sz val="11"/>
        <rFont val="Arial Narrow"/>
        <family val="2"/>
        <charset val="238"/>
      </rPr>
      <t xml:space="preserve"> </t>
    </r>
    <r>
      <rPr>
        <sz val="11"/>
        <rFont val="Symbol"/>
        <family val="1"/>
        <charset val="2"/>
      </rPr>
      <t>-</t>
    </r>
    <r>
      <rPr>
        <sz val="11"/>
        <rFont val="Arial Narrow"/>
        <family val="2"/>
        <charset val="238"/>
      </rPr>
      <t xml:space="preserve"> do Unionu na Oddelenie správy neživotného poistenia poslať jedno kompletné vyhotovenie zmluvy (PZ + prílohy) a potvrdenie o zverejnení, v prípade ak platí aspoň jedno z pravidiel uvedených v bode 8.</t>
    </r>
  </si>
  <si>
    <r>
      <rPr>
        <b/>
        <sz val="11"/>
        <rFont val="Arial Narrow"/>
        <family val="2"/>
        <charset val="238"/>
      </rPr>
      <t>Dokumenty – VPP, OD ku VPP, formulár</t>
    </r>
    <r>
      <rPr>
        <sz val="11"/>
        <rFont val="Arial Narrow"/>
        <family val="2"/>
        <charset val="238"/>
      </rPr>
      <t xml:space="preserve"> sa nachádzajú na sieťovom disku.
Poistníkovi je potrebné priložiť k PZ (PZ + prílohy) nasledujúce dokumenty:</t>
    </r>
    <r>
      <rPr>
        <b/>
        <i/>
        <sz val="11"/>
        <rFont val="Arial Narrow"/>
        <family val="2"/>
        <charset val="238"/>
      </rPr>
      <t/>
    </r>
  </si>
  <si>
    <t>G:\VZORY\VzoryUP\1xx\03_Podmienky\skoly_118</t>
  </si>
  <si>
    <t>G:\VZORY\VzoryUP\1xx\12_NBS_formulare</t>
  </si>
  <si>
    <t>G:\VZORY\VzoryUP\1xx\03_Podmienky\skoly_118\VPP_UP.pdf</t>
  </si>
  <si>
    <t>druh avíza</t>
  </si>
  <si>
    <t>E-MAIL:</t>
  </si>
  <si>
    <t>Druh avíza</t>
  </si>
  <si>
    <t>Poistení:</t>
  </si>
  <si>
    <t>Poisťovateľ zlikviduje poistnú udalosť v súlade s ustanoveniami VPP ÚP,OD ÚPŽ, OD PV, OD PZ a ustanoveniami tejto poistnej zmluvy, a vyplatí poistné plnenie:</t>
  </si>
  <si>
    <t xml:space="preserve">b) </t>
  </si>
  <si>
    <t xml:space="preserve">c) </t>
  </si>
  <si>
    <t>oprávneným osobám podľa čl. 17 VPP ÚP (§ 817 Občianskeho  zákonníka) - v prípade smrti poisteného v dôsledku úrazu,</t>
  </si>
  <si>
    <t>Zmluva sa vyhotovuje v dvoch rovnakých exemplároch, pre každú zmluvnú stranu jedno vyhotovenie.</t>
  </si>
  <si>
    <t>Chcete uplatniť zľavu ?</t>
  </si>
  <si>
    <t>počet poistených osôb podľa skupín (žiaci, zamestnanci) a podľa menného zoznamu poistených osôb,</t>
  </si>
  <si>
    <t>celkové poistné za zmluvu, vypočíta sa ako násobok príslušného poistného a počtu osôb v danej skupine,</t>
  </si>
  <si>
    <t>o poistených osobách</t>
  </si>
  <si>
    <t>v tabuľke uviesť „Viď priložený zoznam osôb.“ v prípade ak poistník doložil opečiatkovaný a podpísaný zoznam,</t>
  </si>
  <si>
    <t>V zmysle čl. 20  VPP ÚP sa touto zmluvou dojednáva, že pre poistenie podľa tejto poistnej zmluvy:</t>
  </si>
  <si>
    <r>
      <rPr>
        <b/>
        <sz val="11"/>
        <rFont val="Arial Narrow"/>
        <family val="2"/>
        <charset val="238"/>
      </rPr>
      <t xml:space="preserve">Vypísanie prílohy č.1 k zmluve </t>
    </r>
    <r>
      <rPr>
        <b/>
        <sz val="11"/>
        <rFont val="Symbol"/>
        <family val="1"/>
        <charset val="2"/>
      </rPr>
      <t>-</t>
    </r>
    <r>
      <rPr>
        <b/>
        <sz val="11"/>
        <rFont val="Arial Narrow"/>
        <family val="2"/>
        <charset val="238"/>
      </rPr>
      <t xml:space="preserve"> </t>
    </r>
    <r>
      <rPr>
        <sz val="11"/>
        <rFont val="Arial Narrow"/>
        <family val="2"/>
        <charset val="238"/>
      </rPr>
      <t>v liste „</t>
    </r>
    <r>
      <rPr>
        <i/>
        <sz val="11"/>
        <rFont val="Arial Narrow"/>
        <family val="2"/>
        <charset val="238"/>
      </rPr>
      <t>Priloha_c1</t>
    </r>
    <r>
      <rPr>
        <sz val="11"/>
        <rFont val="Arial Narrow"/>
        <family val="2"/>
        <charset val="238"/>
      </rPr>
      <t xml:space="preserve">“ doplniť nasledujúce údaje 
(možnosť doplniť tieto údaje aj po vytlačení tejto prílohy): </t>
    </r>
  </si>
  <si>
    <r>
      <rPr>
        <b/>
        <sz val="11"/>
        <rFont val="Arial Narrow"/>
        <family val="2"/>
        <charset val="238"/>
      </rPr>
      <t>Potvrdenia o zverejnení PZ</t>
    </r>
    <r>
      <rPr>
        <sz val="11"/>
        <rFont val="Arial Narrow"/>
        <family val="2"/>
        <charset val="238"/>
      </rPr>
      <t xml:space="preserve"> </t>
    </r>
    <r>
      <rPr>
        <sz val="11"/>
        <rFont val="Symbol"/>
        <family val="1"/>
        <charset val="2"/>
      </rPr>
      <t>-</t>
    </r>
    <r>
      <rPr>
        <sz val="11"/>
        <rFont val="Arial Narrow"/>
        <family val="2"/>
        <charset val="238"/>
      </rPr>
      <t xml:space="preserve"> v liste „</t>
    </r>
    <r>
      <rPr>
        <i/>
        <sz val="11"/>
        <rFont val="Arial Narrow"/>
        <family val="2"/>
        <charset val="238"/>
      </rPr>
      <t>Potvrdenie_o_zverejnení</t>
    </r>
    <r>
      <rPr>
        <sz val="11"/>
        <rFont val="Arial Narrow"/>
        <family val="2"/>
        <charset val="238"/>
      </rPr>
      <t xml:space="preserve">“ v prípade, ak sa tento list zobrazí v ponuke.
</t>
    </r>
    <r>
      <rPr>
        <u/>
        <sz val="11"/>
        <rFont val="Arial Narrow"/>
        <family val="2"/>
        <charset val="238"/>
      </rPr>
      <t xml:space="preserve">Pravidlá pre zverejnenie PZ, ak je poistník štátna inštitúcia:
</t>
    </r>
  </si>
  <si>
    <r>
      <rPr>
        <b/>
        <i/>
        <sz val="11"/>
        <rFont val="Arial Narrow"/>
        <family val="2"/>
        <charset val="238"/>
      </rPr>
      <t>Všeobecné poistné podmienky pre úrazové poistenie</t>
    </r>
    <r>
      <rPr>
        <b/>
        <sz val="11"/>
        <rFont val="Arial Narrow"/>
        <family val="2"/>
        <charset val="238"/>
      </rPr>
      <t xml:space="preserve"> </t>
    </r>
    <r>
      <rPr>
        <sz val="11"/>
        <rFont val="Symbol"/>
        <family val="1"/>
        <charset val="2"/>
      </rPr>
      <t>-</t>
    </r>
    <r>
      <rPr>
        <sz val="10.45"/>
        <rFont val="Arial Narrow"/>
        <family val="2"/>
        <charset val="238"/>
      </rPr>
      <t xml:space="preserve"> priložiť vždy</t>
    </r>
  </si>
  <si>
    <r>
      <rPr>
        <b/>
        <i/>
        <sz val="11"/>
        <rFont val="Arial Narrow"/>
        <family val="2"/>
        <charset val="238"/>
      </rPr>
      <t>Osobitné dojednania pre úrazové poistenie žiakov ku VPP ÚP</t>
    </r>
    <r>
      <rPr>
        <b/>
        <sz val="11"/>
        <rFont val="Arial Narrow"/>
        <family val="2"/>
        <charset val="238"/>
      </rPr>
      <t xml:space="preserve"> </t>
    </r>
    <r>
      <rPr>
        <b/>
        <sz val="11"/>
        <rFont val="Symbol"/>
        <family val="1"/>
        <charset val="2"/>
      </rPr>
      <t>-</t>
    </r>
    <r>
      <rPr>
        <b/>
        <sz val="11"/>
        <rFont val="Arial Narrow"/>
        <family val="2"/>
        <charset val="238"/>
      </rPr>
      <t xml:space="preserve"> </t>
    </r>
    <r>
      <rPr>
        <sz val="11"/>
        <rFont val="Arial Narrow"/>
        <family val="2"/>
        <charset val="238"/>
      </rPr>
      <t>priložiť vždy</t>
    </r>
  </si>
  <si>
    <r>
      <rPr>
        <b/>
        <i/>
        <sz val="11"/>
        <rFont val="Arial Narrow"/>
        <family val="2"/>
        <charset val="238"/>
      </rPr>
      <t xml:space="preserve">Formulár o dôležitých zmluvných podmienkach uzatváranej poistnej zmluvy Úrazového poistenia žiakov - 118 </t>
    </r>
    <r>
      <rPr>
        <sz val="11"/>
        <rFont val="Symbol"/>
        <family val="1"/>
        <charset val="2"/>
      </rPr>
      <t>-</t>
    </r>
    <r>
      <rPr>
        <sz val="10.45"/>
        <rFont val="Arial Narrow"/>
        <family val="2"/>
        <charset val="238"/>
      </rPr>
      <t xml:space="preserve"> priložiť vždy</t>
    </r>
  </si>
  <si>
    <r>
      <rPr>
        <b/>
        <i/>
        <sz val="11"/>
        <rFont val="Arial Narrow"/>
        <family val="2"/>
        <charset val="238"/>
      </rPr>
      <t>Osobitné dojednania poistenia vecí žiakov pre prípad odcudzenia ku VPP ÚP</t>
    </r>
    <r>
      <rPr>
        <b/>
        <sz val="11"/>
        <rFont val="Arial Narrow"/>
        <family val="2"/>
        <charset val="238"/>
      </rPr>
      <t xml:space="preserve"> </t>
    </r>
    <r>
      <rPr>
        <sz val="11"/>
        <rFont val="Arial Narrow"/>
        <family val="2"/>
        <charset val="238"/>
      </rPr>
      <t>– priložiť ak sa v poistnej zmluve dojednáva poistenie</t>
    </r>
    <r>
      <rPr>
        <u/>
        <sz val="11"/>
        <rFont val="Arial Narrow"/>
        <family val="2"/>
        <charset val="238"/>
      </rPr>
      <t xml:space="preserve"> pre prípad odcudzenia poistených vecí</t>
    </r>
  </si>
  <si>
    <r>
      <rPr>
        <b/>
        <i/>
        <sz val="11"/>
        <rFont val="Arial Narrow"/>
        <family val="2"/>
        <charset val="238"/>
      </rPr>
      <t>Osobitné dojednania pre poistenie zodpovednosti žiaka za škodu ku VPP ÚP</t>
    </r>
    <r>
      <rPr>
        <sz val="11"/>
        <rFont val="Arial Narrow"/>
        <family val="2"/>
        <charset val="238"/>
      </rPr>
      <t xml:space="preserve"> – priložiť ak sa v poistnej zmluve dojednáva poistenie </t>
    </r>
    <r>
      <rPr>
        <u/>
        <sz val="11"/>
        <rFont val="Arial Narrow"/>
        <family val="2"/>
        <charset val="238"/>
      </rPr>
      <t>pre prípad zodpovednosti žiaka za škodu spôsobenú škole</t>
    </r>
  </si>
  <si>
    <t>IBAN: SK59 1111 0000 0066 0054 7090,  BIC: UNCRSKBX</t>
  </si>
  <si>
    <t>Účet pre úhradu poistného:</t>
  </si>
  <si>
    <t>Doba trvania poistenia</t>
  </si>
  <si>
    <t>Dátum splatnosti poistného za prílohu č. 2:</t>
  </si>
  <si>
    <t>v ročných poistných obdobiach naraz</t>
  </si>
  <si>
    <t>Zľava pre nové PZ za počet detí:</t>
  </si>
  <si>
    <t>EUR</t>
  </si>
  <si>
    <t>Dátum účinnosti zmeny</t>
  </si>
  <si>
    <t>Zľava za bezškodový priebeh:</t>
  </si>
  <si>
    <t>uzavierajú v zmysle § 788 a nasl. Občianskeho zákonníka č. 40/1964 Zb. v znení neskorších zmien, doplnení a úprav túto zmluvu o poistení úrazu.</t>
  </si>
  <si>
    <t xml:space="preserve"> - škola bola poistená na dobu 1 roka a opätovne sa poisťuje, 
   bez PU </t>
  </si>
  <si>
    <t xml:space="preserve"> - škola bola poistená od 2 do 5 rokov a opätovne sa poisťuje, 
   bez PU alebo poistné plnenia spolu nepresiahli hodnotu 100 Eur</t>
  </si>
  <si>
    <t xml:space="preserve"> - škola bola u nás poistená už viac ako 5 rokov a opätovne sa poisťuje, 
   bez PU alebo poistné plnenia spolu nepresiahli hodnotu 320 Eur</t>
  </si>
  <si>
    <t xml:space="preserve"> - od 50 do 100 osôb (žiaci + zamestnanci)</t>
  </si>
  <si>
    <t xml:space="preserve"> - od 101 do 250 osôb (žiaci + zamestnanci)</t>
  </si>
  <si>
    <t xml:space="preserve"> - od 251 osôb (žiaci + zamestnanci) a viac</t>
  </si>
  <si>
    <t xml:space="preserve">       áno</t>
  </si>
  <si>
    <t>poistná zmluva je na dobu určitú a doba poistenia je presne 1 rok (napr. poistná doba je od 1.9. príslušného kalendárneho roku do 31.8. nasledujúceho kalendárneho roku),</t>
  </si>
  <si>
    <r>
      <t xml:space="preserve">Tlačivo “Oznámenie o úraze pre úrazové poistenie škôl” spolu so Správou ošetrujúceho lekára je potrebné zaslať na adresu: 
</t>
    </r>
    <r>
      <rPr>
        <i/>
        <sz val="10.5"/>
        <rFont val="Arial"/>
        <family val="2"/>
        <charset val="238"/>
      </rPr>
      <t>Union poisťovňa, a.s., Likvidácia poistných udalostí, Karadžičova 10, 813 60 Bratislava.</t>
    </r>
  </si>
  <si>
    <t>Union poisťovňa, a.s., Karadžičova 10, 813 60 Bratislava, SR, IČO 31 322 051/DIČ 2020800353, zapísaná v Obchodnom registri Okresného súdu Bratislava I, odd. Sa, vl. č. 383/B</t>
  </si>
  <si>
    <t>Union poisťovňa, a.s., Karadžičova 10, 813 60 Bratislava, Slovenská republika</t>
  </si>
  <si>
    <t>Práva a povinnosti poisťovateľa a poisteného / poistníka sú uvedené v právnych predpisoch, poistných podmienkach, osobitných dojednaniach a tejto poistnej zmluve.</t>
  </si>
  <si>
    <t>Osoba, ktorá s poisťovateľom uzavrela poistnú zmluvu, svojím podpisom potvrdzuje, že jej bol pred uzavretím poistnej zmluvy odovzdaný Informačný dokument o poistnom produkte pre Hromadné úrazové poistenie žiakov.</t>
  </si>
  <si>
    <t xml:space="preserve">  POTVRDENIE O ZVEREJNENÍ ZMLUVY</t>
  </si>
  <si>
    <t xml:space="preserve">Výška odkupnej hodnoty pri predčasnom ukončení zmluvy sa v súlade s § 788 ods. 2 písm. f) Občianskeho zákonníka dojednáva na 0 EUR.
</t>
  </si>
  <si>
    <t xml:space="preserve">4.
</t>
  </si>
  <si>
    <t>ČAS PODPISU (v tvare "HH:MM" )</t>
  </si>
  <si>
    <t>Poistné zahŕňa daň z poistenia vo výške 8% v zmysle zákona č. 213/2018 Z.z. o dani z poistenia a o zmene a doplnení niektorých zákonov platného od 1.1.2019.</t>
  </si>
  <si>
    <t>Celkové poistné s daňou na poistnej zmluve:</t>
  </si>
  <si>
    <r>
      <t>Poistné s daňou pre zamestnanca</t>
    </r>
    <r>
      <rPr>
        <b/>
        <vertAlign val="superscript"/>
        <sz val="10.5"/>
        <rFont val="Arial"/>
        <family val="2"/>
        <charset val="238"/>
      </rPr>
      <t>*</t>
    </r>
    <r>
      <rPr>
        <b/>
        <sz val="10.5"/>
        <rFont val="Arial"/>
        <family val="2"/>
        <charset val="238"/>
      </rPr>
      <t>:</t>
    </r>
  </si>
  <si>
    <r>
      <t>Poistné s daňou pre žiaka</t>
    </r>
    <r>
      <rPr>
        <b/>
        <vertAlign val="superscript"/>
        <sz val="10.5"/>
        <rFont val="Arial"/>
        <family val="2"/>
        <charset val="238"/>
      </rPr>
      <t>*</t>
    </r>
    <r>
      <rPr>
        <b/>
        <sz val="10.5"/>
        <rFont val="Arial"/>
        <family val="2"/>
        <charset val="238"/>
      </rPr>
      <t>:</t>
    </r>
  </si>
  <si>
    <t>územie Slovenskej a Českej republiky, Maďarska, Poľska, Rakúska</t>
  </si>
  <si>
    <t>ZMENA V POČTE POISTENÝCH OSÔB</t>
  </si>
  <si>
    <t>Výška poistného za prílohu č.2 
v aktuálnom poistnom období:</t>
  </si>
  <si>
    <t>Poistné s daňou pre jednu osobu</t>
  </si>
  <si>
    <t>Dátum splatnosti poistného s daňou za druhé a ďalšie poistné obdobia</t>
  </si>
  <si>
    <t>Poistník, ktorý má v zmysle zákona č. 211/2000 Z. z. povinnosť zverejňovať zmluvy, je povinný zverejniť túto poistnú zmluvu a všetky dodatky k nej do 3 dní od jej uzavretia najneskôr však jeden deň pred účinnosťou poistnej zmluvy/dodatku.</t>
  </si>
  <si>
    <t>nie však skôr ako v deň nasledujúci po jej zverejnení, podľa ust. § 5a zák. č. 211/2000 Z.z. a § 47 a ods. 2 Občianskeho zákonníka.</t>
  </si>
  <si>
    <r>
      <t>poistenému - v prípade trvalých následkov úrazu poisteného,</t>
    </r>
    <r>
      <rPr>
        <sz val="10.5"/>
        <rFont val="Arial"/>
        <family val="2"/>
        <charset val="238"/>
      </rPr>
      <t xml:space="preserve"> úrazového odškodnenia detí, denných dávok za čas nevyhnutného liečenia a odcudzenia,</t>
    </r>
  </si>
  <si>
    <t>Povinnosti poistníka</t>
  </si>
  <si>
    <t>poistná suma</t>
  </si>
  <si>
    <t>TNU</t>
  </si>
  <si>
    <t>SNU</t>
  </si>
  <si>
    <t>DDCNL</t>
  </si>
  <si>
    <t>Zodpovednosť žiaka za škodu spôsobenú škole/tretej osobe (spoluúčasť sa dojednáva vo výške 30,00 EUR)</t>
  </si>
  <si>
    <t>poistníkovi - v prípade zodpovednosti žiaka za škodu spôsobenú škole, alebo poškodenému - v prípade zodpovednosti žiaka  za škodu spôsobenú tretej osobe.</t>
  </si>
  <si>
    <t>SU, TNU  ZAMCI</t>
  </si>
  <si>
    <t>DDCNL ZAMCI</t>
  </si>
  <si>
    <t>Hlásenie počtu poistených osôb 
Úrazové poistenie žiakov - 118</t>
  </si>
  <si>
    <t>Poistník sa zaväzuje viesť internú evidenciu poistených osôb (žiakov aj zamestnancov), ktorá je v súlade s Hlásením počtu poistených osôb (Príloha č.1) a zároveň umožniť povereným pracovníkom poisťovateľa vykonať kontrolu hlásenia (najmä pri úkonoch súvisiacimi s likvidáciou poistných udalostí) a na žiadosť poisťovateľa potvrdiť, že žiak/zamestnanec bol v čase nastania poistnej udalosti žiakom/zamestnancom školy.</t>
  </si>
  <si>
    <t>Poistník sa zaväzuje viesť internú evidenciu poistených osôb (žiakov aj zamestnancov), ktorá je v súlade s Hlásením počtu poistených osôb (Príloha č.1) a zároveň umožniť povereným pracovníkom poisťovateľa vykonať kontrolu tohto hlásenia (najmä pri úkonoch súvisiacimi s likvidáciou poistných udalostí).</t>
  </si>
  <si>
    <t>Poistník je povinný aktualizovať Hlásenie počtu poistených osôb podľa ustanovení poistnej zmluvy.</t>
  </si>
  <si>
    <t>Poistník týmto splnomocňuje školu, uvedenú v tejto poistnej zmluve, pre zasielanie dokumentov „Oznam o úraze pre úrazové poistenie škôl“, Hlásenie počtu poistených osôb a Zmena v počte poistených osôb (viď. Príloha č.1 a Príloha č.2 tejto poistnej zmluvy).</t>
  </si>
  <si>
    <t>Výška poistného za prílohu č.2:</t>
  </si>
  <si>
    <t>Počet osôb vstupujúcich do poistenia:</t>
  </si>
  <si>
    <t>Počet osôb vystupujúcich z poistenia:</t>
  </si>
  <si>
    <t>Celková zmena v počte poistených osôb:</t>
  </si>
  <si>
    <r>
      <t xml:space="preserve">Hromadné úrazové poistenie </t>
    </r>
    <r>
      <rPr>
        <sz val="11"/>
        <rFont val="Arial"/>
        <family val="2"/>
        <charset val="238"/>
      </rPr>
      <t xml:space="preserve">je určené pre žiakov a zamestnancov materských, základných a stredných škôl a vzťahuje sa na úrazy, ktoré nastali počas vyučovacích hodín, mimoškolských aktivít, viacdňových školských výletov a exkurzií, lyžiarskych a plaveckých výcvikov organizovaných školou. 
V produkte je možné pripoistiť majetok žiakov proti odcudzeniu či poškodeniu ako aj zodpovednosť žiaka za škodu spôsobenú škole alebo tretím osobám.
</t>
    </r>
    <r>
      <rPr>
        <b/>
        <sz val="11"/>
        <rFont val="Arial"/>
        <family val="2"/>
        <charset val="238"/>
      </rPr>
      <t xml:space="preserve">Územná platnosť poistenia: </t>
    </r>
    <r>
      <rPr>
        <sz val="11"/>
        <rFont val="Arial"/>
        <family val="2"/>
        <charset val="238"/>
      </rPr>
      <t>SR + Česko, Maďarsko, Rakúsko, Poľsko</t>
    </r>
  </si>
  <si>
    <t>deti</t>
  </si>
  <si>
    <t>dospeli</t>
  </si>
  <si>
    <t>vypocet massrisk/koncentracia</t>
  </si>
  <si>
    <t>% od Andreja</t>
  </si>
  <si>
    <t>faktor</t>
  </si>
  <si>
    <t>priemerná škoda</t>
  </si>
  <si>
    <t>MPL</t>
  </si>
  <si>
    <t>Poistné s daňou v druhom a ďalších poistných obdobiach za všetkých poistených spolu (pri dobe neurčitej)</t>
  </si>
  <si>
    <t>Ročné poistné s daňou za jedného poisteného žiaka (pri dobre neurčitej)</t>
  </si>
  <si>
    <t>Ročné poistné s daňou za jedného poisteného zamestnanca (pri dobe neurčitej)</t>
  </si>
  <si>
    <t>SKxx xxxx xxxx xxxx xxxx xxxx</t>
  </si>
  <si>
    <t>Poisťovateľ neposkytne poistné plnenie a ani neposkytne akékoľvek iné plnenie poistenému, pokiaľ by bol poisťovateľ vystavený hrozbe pokút, sankcií, obmedzení alebo zákazov, ktoré vyplývajú z:
a) obchodných alebo ekonomických sankcií Európskej únie,
b) práva alebo platných predpisov Európskej únie,
c) rozhodnutí Organizácie spojených národov,
d) platných právnych predpisov Slovenskej republiky.</t>
  </si>
  <si>
    <t>Poisťovateľ môže zadržať poistné plnenie a akékoľvek iné plnenie poistenému, pokiaľ je poistený vedený v sankčných zoznamoch v USA. Po dobu zadržania poistného plnenia alebo akéhokoľvek iného plnenia poisťovateľ nie je v omeškaní s platením.</t>
  </si>
  <si>
    <t xml:space="preserve"> V (názov obce/mesta)</t>
  </si>
  <si>
    <t>DD.MM.YYYY</t>
  </si>
  <si>
    <t xml:space="preserve">V prípade poistenia úrazu oznámi poistník alebo poistený (alebo zákonný zástupca v prípade, že v deň oznámenia úrazu nie je poistený spôsobilý na právne úkony) poistnú udalosť poisťovateľovi na tlačive “Oznámenie o úraze pre úrazové poistenie škôl” spolu s vyplnenou Správou ošetrujúceho lekára (2. strana tlačiva) po ukončení liečby úrazu. Poistník (zástupca školy) svojím podpisom a pečiatkou organizácie potvrdí, že osoba, ktorá úraz utrpela, bola v čase úrazu poisteným (žiakom alebo zamestnancom školy).
</t>
  </si>
  <si>
    <t xml:space="preserve">V prípade poistenia zodpovednosti za škodu spôsobenú škole / tretej osobe oznámi poistník alebo poistený (alebo zákonný zástupca v prípade, že v deň oznámenia úrazu nie je poistený spôsobilý na právne úkony) poistnú udalosť poisťovateľovi na tlačive "Oznámenie škodovej udalosti z poistenia všeobecnej zodpovednosti za škodu (školské zariadenia – DPO 118)". Poistník (zástupca školy) svojím podpisom a pečiatkou organizácie potvrdí, že osoba, ktorej nastala poistná udalosť, bola v čase jej vzniku poistenou osobou (žiakom školy).
</t>
  </si>
  <si>
    <t>V prípade poistenia vecí žiakov pre prípad odcudzenia oznámi poistník alebo poistený (aleb zákonný zástupca v prípade, že v deň oznámenia úrazu nie je poistený spôsobilý na právne úkony) poistnú udalosť poisťovateľovi na tlačive "Oznámenie škodovej udalosti spôsobenej odcudzením (školské zariadenia – DPO 118)". Poistník (zástupca školy) svojím podpisom a pečiatkou organizácie potvrdí, že osoba, ktorej nastala poistná udalosť, bola v čase jej vzniku poistenou osobou (žiakom školy).</t>
  </si>
  <si>
    <t>Zlomeniny</t>
  </si>
  <si>
    <t>zlomeniny a popáleniny</t>
  </si>
  <si>
    <t>Zlomeniny a popáleniny</t>
  </si>
  <si>
    <t xml:space="preserve">                                                  Zvláštne  dojednania</t>
  </si>
  <si>
    <t>Poistník, poistený alebo oprávnená osoba podávajú sťažnosti na správnosť a kvalitu služieb poisťovateľa písomnou formou prostredníctvom pošty alebo osobne na ktoromkoľvek jeho pracovisku alebo elektronicky (staznosti-up@union.sk alebo prostredníctvom kontaktného formulára umiestneného na www.union.sk). O výsledku vybavenia sťažnosti bude osoba podávajúca sťažnosť informovaná listom do 30 dní odo dňa prijatia sťažnosti. V odôvodnených prípadoch je možné lehotu na prešetrenie a vybavenie sťažnosti predĺžiť, nie však na viac ako 60 kalendárnych dní; o dôvodoch neskoršieho vybavenia sťažnosti bude osoba podávajúca sťažnosť písomne informovaná. Viac informácií o spôsobe vybavovania sťažností je uvedených na www.union.sk/kontaktny-formular.
Ak poistník, poistený alebo oprávnená osoba nie je spokojná s tým, ako Poisťovateľ vybavil jeho sťažnosť, alebo ak nedostal odpoveď do 30 dní od jej podania, má právo podať návrh na alternatívne riešenie sporu subjektu alternatívneho riešenia sporov. Zoznam subjektov alternatívneho riešenia sporov je dostupný na webovej stránke Ministerstva hospodárstva Slovenskej republiky www.mhsr.sk. Finančný spotrebiteľ môže podať podnet alebo sťažnosť aj Národnej banke Slovenska.</t>
  </si>
  <si>
    <t>POISTNÉ KRYTIE - ZAMESTNANCI</t>
  </si>
  <si>
    <t xml:space="preserve">Poistník svojím podpisom potvrdzuje, že mu boli oznámené VPP ÚP, OD UPŽ, v prípade dojednania pripoistení aj OD PV alebo OD PZ , Základné informácie o ochrane osobných údajov pre dotknutú osobu a Informačný dokument o poistnom produkte,  platné v deň, ktorý je ako začiatok poistenia uvedený  v tejto poistnej zmluve.
</t>
  </si>
  <si>
    <t>určitá</t>
  </si>
  <si>
    <t>Alikvotne za 1. obdobie zľavnene</t>
  </si>
  <si>
    <t>Poistné s daňou spolu za prvé poistné obdobie na poistnej zmluve:</t>
  </si>
  <si>
    <t>elektronické avízo</t>
  </si>
  <si>
    <t>xx-1xxxxx</t>
  </si>
  <si>
    <t>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</si>
</sst>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7" formatCode="#,##0.00\ &quot;€&quot;;\-#,##0.00\ &quot;€&quot;"/>
    <numFmt numFmtId="164" formatCode="#,##0\ [$€-1]"/>
    <numFmt numFmtId="165" formatCode="#,##0.00\ [$€-1]"/>
    <numFmt numFmtId="166" formatCode="#,##0.00\ [$SKK]"/>
    <numFmt numFmtId="167" formatCode="#,##0.00\ [$EUR]"/>
    <numFmt numFmtId="168" formatCode="#,##0\ [$EUR]"/>
    <numFmt numFmtId="169" formatCode="#,##0\ &quot;€&quot;"/>
    <numFmt numFmtId="170" formatCode="#,##0.00\ &quot;€&quot;"/>
    <numFmt numFmtId="171" formatCode="_-* #,##0.00\ [$€-1]_-;\-* #,##0.00\ [$€-1]_-;_-* &quot;-&quot;??\ [$€-1]_-"/>
    <numFmt numFmtId="172" formatCode="h:mm;@"/>
    <numFmt numFmtId="173" formatCode="[$-F800]dddd\,\ mmmm\ dd\,\ yyyy"/>
    <numFmt numFmtId="174" formatCode="#,##0.0\ &quot;€&quot;"/>
  </numFmts>
  <fonts count="113">
    <font>
      <sz val="10"/>
      <name val="Arial"/>
      <charset val="238"/>
    </font>
    <font>
      <sz val="10"/>
      <name val="Arial"/>
      <family val="2"/>
      <charset val="238"/>
    </font>
    <font>
      <sz val="10"/>
      <name val="Arial CE"/>
      <charset val="238"/>
    </font>
    <font>
      <b/>
      <sz val="11"/>
      <name val="Arial"/>
      <family val="2"/>
      <charset val="238"/>
    </font>
    <font>
      <b/>
      <sz val="12"/>
      <name val="Arial"/>
      <family val="2"/>
    </font>
    <font>
      <sz val="10"/>
      <name val="Arial"/>
      <family val="2"/>
    </font>
    <font>
      <b/>
      <sz val="11"/>
      <name val="Arial"/>
      <family val="2"/>
    </font>
    <font>
      <b/>
      <sz val="10"/>
      <name val="Arial"/>
      <family val="2"/>
      <charset val="238"/>
    </font>
    <font>
      <b/>
      <sz val="9"/>
      <name val="Arial"/>
      <family val="2"/>
      <charset val="238"/>
    </font>
    <font>
      <b/>
      <sz val="8"/>
      <name val="Arial"/>
      <family val="2"/>
      <charset val="238"/>
    </font>
    <font>
      <b/>
      <sz val="8"/>
      <color indexed="10"/>
      <name val="Arial"/>
      <family val="2"/>
      <charset val="238"/>
    </font>
    <font>
      <sz val="8"/>
      <name val="Arial"/>
      <family val="2"/>
      <charset val="238"/>
    </font>
    <font>
      <sz val="8"/>
      <name val="Arial"/>
      <family val="2"/>
      <charset val="238"/>
    </font>
    <font>
      <sz val="10"/>
      <color indexed="9"/>
      <name val="Arial"/>
      <family val="2"/>
      <charset val="238"/>
    </font>
    <font>
      <sz val="11"/>
      <color indexed="8"/>
      <name val="Calibri"/>
      <family val="2"/>
      <charset val="238"/>
    </font>
    <font>
      <sz val="11"/>
      <color indexed="9"/>
      <name val="Calibri"/>
      <family val="2"/>
      <charset val="238"/>
    </font>
    <font>
      <b/>
      <sz val="11"/>
      <color indexed="8"/>
      <name val="Calibri"/>
      <family val="2"/>
      <charset val="238"/>
    </font>
    <font>
      <sz val="11"/>
      <color indexed="20"/>
      <name val="Calibri"/>
      <family val="2"/>
      <charset val="238"/>
    </font>
    <font>
      <b/>
      <sz val="11"/>
      <color indexed="9"/>
      <name val="Calibri"/>
      <family val="2"/>
      <charset val="238"/>
    </font>
    <font>
      <b/>
      <sz val="15"/>
      <color indexed="62"/>
      <name val="Calibri"/>
      <family val="2"/>
      <charset val="238"/>
    </font>
    <font>
      <b/>
      <sz val="13"/>
      <color indexed="62"/>
      <name val="Calibri"/>
      <family val="2"/>
      <charset val="238"/>
    </font>
    <font>
      <b/>
      <sz val="11"/>
      <color indexed="62"/>
      <name val="Calibri"/>
      <family val="2"/>
      <charset val="238"/>
    </font>
    <font>
      <b/>
      <sz val="18"/>
      <color indexed="62"/>
      <name val="Cambria"/>
      <family val="2"/>
      <charset val="238"/>
    </font>
    <font>
      <sz val="11"/>
      <color indexed="19"/>
      <name val="Calibri"/>
      <family val="2"/>
      <charset val="238"/>
    </font>
    <font>
      <sz val="11"/>
      <color indexed="10"/>
      <name val="Calibri"/>
      <family val="2"/>
      <charset val="238"/>
    </font>
    <font>
      <sz val="11"/>
      <color indexed="17"/>
      <name val="Calibri"/>
      <family val="2"/>
      <charset val="238"/>
    </font>
    <font>
      <sz val="11"/>
      <color indexed="62"/>
      <name val="Calibri"/>
      <family val="2"/>
      <charset val="238"/>
    </font>
    <font>
      <b/>
      <sz val="11"/>
      <color indexed="10"/>
      <name val="Calibri"/>
      <family val="2"/>
      <charset val="238"/>
    </font>
    <font>
      <b/>
      <sz val="11"/>
      <color indexed="63"/>
      <name val="Calibri"/>
      <family val="2"/>
      <charset val="238"/>
    </font>
    <font>
      <i/>
      <sz val="11"/>
      <color indexed="23"/>
      <name val="Calibri"/>
      <family val="2"/>
      <charset val="238"/>
    </font>
    <font>
      <sz val="11"/>
      <name val="Arial"/>
      <family val="2"/>
      <charset val="238"/>
    </font>
    <font>
      <b/>
      <sz val="14"/>
      <color indexed="9"/>
      <name val="Arial"/>
      <family val="2"/>
      <charset val="238"/>
    </font>
    <font>
      <sz val="9"/>
      <name val="Arial"/>
      <family val="2"/>
      <charset val="238"/>
    </font>
    <font>
      <sz val="10"/>
      <color indexed="10"/>
      <name val="Arial"/>
      <family val="2"/>
      <charset val="238"/>
    </font>
    <font>
      <b/>
      <sz val="14"/>
      <name val="Arial"/>
      <family val="2"/>
      <charset val="238"/>
    </font>
    <font>
      <sz val="9"/>
      <name val="Arial"/>
      <family val="2"/>
      <charset val="238"/>
    </font>
    <font>
      <sz val="10"/>
      <color indexed="10"/>
      <name val="Arial"/>
      <family val="2"/>
      <charset val="238"/>
    </font>
    <font>
      <b/>
      <sz val="14"/>
      <color indexed="10"/>
      <name val="Arial"/>
      <family val="2"/>
      <charset val="238"/>
    </font>
    <font>
      <b/>
      <sz val="10"/>
      <color indexed="8"/>
      <name val="Arial"/>
      <family val="2"/>
      <charset val="238"/>
    </font>
    <font>
      <b/>
      <sz val="14"/>
      <color indexed="10"/>
      <name val="Arial"/>
      <family val="2"/>
      <charset val="238"/>
    </font>
    <font>
      <b/>
      <sz val="9"/>
      <color indexed="81"/>
      <name val="Tahoma"/>
      <family val="2"/>
      <charset val="238"/>
    </font>
    <font>
      <b/>
      <sz val="12"/>
      <name val="Arial"/>
      <family val="2"/>
      <charset val="238"/>
    </font>
    <font>
      <sz val="10"/>
      <color indexed="8"/>
      <name val="Arial"/>
      <family val="2"/>
      <charset val="238"/>
    </font>
    <font>
      <sz val="14"/>
      <name val="Times New Roman"/>
      <family val="1"/>
      <charset val="238"/>
    </font>
    <font>
      <sz val="14"/>
      <name val="Arial"/>
      <family val="2"/>
      <charset val="238"/>
    </font>
    <font>
      <sz val="12"/>
      <name val="Times New Roman"/>
      <family val="1"/>
      <charset val="238"/>
    </font>
    <font>
      <b/>
      <sz val="12"/>
      <color rgb="FFFF0000"/>
      <name val="Arial"/>
      <family val="2"/>
      <charset val="238"/>
    </font>
    <font>
      <b/>
      <sz val="14"/>
      <color rgb="FFFF0000"/>
      <name val="Times New Roman"/>
      <family val="1"/>
      <charset val="238"/>
    </font>
    <font>
      <b/>
      <sz val="12"/>
      <name val="Times New Roman"/>
      <family val="1"/>
      <charset val="238"/>
    </font>
    <font>
      <b/>
      <sz val="10.5"/>
      <name val="Arial"/>
      <family val="2"/>
      <charset val="238"/>
    </font>
    <font>
      <sz val="10.5"/>
      <name val="Arial"/>
      <family val="2"/>
      <charset val="238"/>
    </font>
    <font>
      <b/>
      <sz val="16"/>
      <name val="Arial"/>
      <family val="2"/>
      <charset val="238"/>
    </font>
    <font>
      <b/>
      <sz val="10.5"/>
      <color indexed="8"/>
      <name val="Arial"/>
      <family val="2"/>
      <charset val="238"/>
    </font>
    <font>
      <i/>
      <sz val="10.5"/>
      <name val="Arial"/>
      <family val="2"/>
      <charset val="238"/>
    </font>
    <font>
      <sz val="10"/>
      <name val="Arial Narrow"/>
      <family val="2"/>
      <charset val="238"/>
    </font>
    <font>
      <sz val="10.5"/>
      <name val="Arial Narrow"/>
      <family val="2"/>
      <charset val="238"/>
    </font>
    <font>
      <b/>
      <i/>
      <u/>
      <sz val="11"/>
      <name val="Arial"/>
      <family val="2"/>
      <charset val="238"/>
    </font>
    <font>
      <b/>
      <sz val="18"/>
      <color indexed="10"/>
      <name val="Arial"/>
      <family val="2"/>
      <charset val="238"/>
    </font>
    <font>
      <sz val="9"/>
      <color indexed="81"/>
      <name val="Tahoma"/>
      <family val="2"/>
      <charset val="238"/>
    </font>
    <font>
      <b/>
      <sz val="10"/>
      <color indexed="81"/>
      <name val="Arial"/>
      <family val="2"/>
      <charset val="238"/>
    </font>
    <font>
      <sz val="10"/>
      <color indexed="81"/>
      <name val="Arial"/>
      <family val="2"/>
      <charset val="238"/>
    </font>
    <font>
      <b/>
      <sz val="12.5"/>
      <name val="Arial"/>
      <family val="2"/>
    </font>
    <font>
      <b/>
      <sz val="10.5"/>
      <color indexed="9"/>
      <name val="Arial"/>
      <family val="2"/>
      <charset val="238"/>
    </font>
    <font>
      <sz val="10"/>
      <color rgb="FFFF0000"/>
      <name val="Arial"/>
      <family val="2"/>
      <charset val="238"/>
    </font>
    <font>
      <b/>
      <sz val="10"/>
      <color rgb="FFFF0000"/>
      <name val="Arial"/>
      <family val="2"/>
      <charset val="238"/>
    </font>
    <font>
      <sz val="10"/>
      <color indexed="10"/>
      <name val="AT*Toronto"/>
    </font>
    <font>
      <sz val="8"/>
      <color indexed="10"/>
      <name val="Arial"/>
      <family val="2"/>
      <charset val="238"/>
    </font>
    <font>
      <sz val="10"/>
      <color theme="0"/>
      <name val="Arial"/>
      <family val="2"/>
      <charset val="238"/>
    </font>
    <font>
      <b/>
      <sz val="15"/>
      <color indexed="9"/>
      <name val="Arial"/>
      <family val="2"/>
    </font>
    <font>
      <sz val="15"/>
      <color indexed="9"/>
      <name val="Arial"/>
      <family val="2"/>
    </font>
    <font>
      <sz val="12"/>
      <color indexed="9"/>
      <name val="Arial"/>
      <family val="2"/>
    </font>
    <font>
      <b/>
      <sz val="13"/>
      <color indexed="9"/>
      <name val="Arial"/>
      <family val="2"/>
    </font>
    <font>
      <b/>
      <sz val="18.5"/>
      <color indexed="9"/>
      <name val="Arial"/>
      <family val="2"/>
      <charset val="238"/>
    </font>
    <font>
      <b/>
      <sz val="18.5"/>
      <color indexed="9"/>
      <name val="Symbol"/>
      <family val="1"/>
      <charset val="2"/>
    </font>
    <font>
      <b/>
      <sz val="12"/>
      <color indexed="9"/>
      <name val="Arial"/>
      <family val="2"/>
      <charset val="238"/>
    </font>
    <font>
      <b/>
      <sz val="15"/>
      <name val="Arial"/>
      <family val="2"/>
    </font>
    <font>
      <b/>
      <sz val="13"/>
      <name val="Arial"/>
      <family val="2"/>
    </font>
    <font>
      <b/>
      <sz val="14"/>
      <color rgb="FFFF0000"/>
      <name val="Arial"/>
      <family val="2"/>
      <charset val="238"/>
    </font>
    <font>
      <b/>
      <sz val="13.5"/>
      <color indexed="9"/>
      <name val="Arial"/>
      <family val="2"/>
    </font>
    <font>
      <b/>
      <sz val="13.5"/>
      <name val="Arial"/>
      <family val="2"/>
      <charset val="238"/>
    </font>
    <font>
      <b/>
      <sz val="10.5"/>
      <name val="Arial"/>
      <family val="2"/>
    </font>
    <font>
      <sz val="10.5"/>
      <name val="Arial"/>
      <family val="2"/>
    </font>
    <font>
      <b/>
      <i/>
      <sz val="11"/>
      <name val="Arial"/>
      <family val="2"/>
      <charset val="238"/>
    </font>
    <font>
      <sz val="10.5"/>
      <color indexed="8"/>
      <name val="Arial"/>
      <family val="2"/>
      <charset val="238"/>
    </font>
    <font>
      <sz val="10.5"/>
      <name val="Symbol"/>
      <family val="1"/>
      <charset val="2"/>
    </font>
    <font>
      <b/>
      <sz val="10.5"/>
      <color rgb="FFFF0000"/>
      <name val="Arial"/>
      <family val="2"/>
      <charset val="238"/>
    </font>
    <font>
      <b/>
      <sz val="13"/>
      <color rgb="FFC00000"/>
      <name val="Arial Narrow"/>
      <family val="2"/>
      <charset val="238"/>
    </font>
    <font>
      <b/>
      <sz val="11"/>
      <name val="Arial Narrow"/>
      <family val="2"/>
      <charset val="238"/>
    </font>
    <font>
      <sz val="11"/>
      <name val="Arial Narrow"/>
      <family val="2"/>
      <charset val="238"/>
    </font>
    <font>
      <i/>
      <sz val="11"/>
      <name val="Arial Narrow"/>
      <family val="2"/>
      <charset val="238"/>
    </font>
    <font>
      <sz val="11"/>
      <name val="Symbol"/>
      <family val="1"/>
      <charset val="2"/>
    </font>
    <font>
      <b/>
      <i/>
      <sz val="11"/>
      <name val="Arial Narrow"/>
      <family val="2"/>
      <charset val="238"/>
    </font>
    <font>
      <u/>
      <sz val="11"/>
      <name val="Arial Narrow"/>
      <family val="2"/>
      <charset val="238"/>
    </font>
    <font>
      <sz val="11"/>
      <name val="Calibri"/>
      <family val="2"/>
      <charset val="238"/>
    </font>
    <font>
      <b/>
      <sz val="11"/>
      <name val="Symbol"/>
      <family val="1"/>
      <charset val="2"/>
    </font>
    <font>
      <u/>
      <sz val="10"/>
      <color theme="10"/>
      <name val="Arial"/>
      <family val="2"/>
      <charset val="238"/>
    </font>
    <font>
      <b/>
      <i/>
      <sz val="10.5"/>
      <name val="Arial"/>
      <family val="2"/>
      <charset val="238"/>
    </font>
    <font>
      <sz val="10.45"/>
      <name val="Arial Narrow"/>
      <family val="2"/>
      <charset val="238"/>
    </font>
    <font>
      <b/>
      <sz val="11"/>
      <color theme="1"/>
      <name val="Calibri"/>
      <family val="2"/>
      <charset val="238"/>
      <scheme val="minor"/>
    </font>
    <font>
      <b/>
      <i/>
      <u/>
      <sz val="11"/>
      <color theme="1"/>
      <name val="Calibri"/>
      <family val="2"/>
      <charset val="238"/>
      <scheme val="minor"/>
    </font>
    <font>
      <i/>
      <sz val="10"/>
      <name val="Arial"/>
      <family val="2"/>
      <charset val="238"/>
    </font>
    <font>
      <b/>
      <vertAlign val="superscript"/>
      <sz val="10.5"/>
      <name val="Arial"/>
      <family val="2"/>
      <charset val="238"/>
    </font>
    <font>
      <b/>
      <sz val="10"/>
      <color rgb="FFC00000"/>
      <name val="Arial"/>
      <family val="2"/>
      <charset val="238"/>
    </font>
    <font>
      <b/>
      <sz val="10"/>
      <color rgb="FF0000FF"/>
      <name val="Arial"/>
      <family val="2"/>
      <charset val="238"/>
    </font>
    <font>
      <b/>
      <strike/>
      <sz val="8"/>
      <color rgb="FFFF0000"/>
      <name val="Arial"/>
      <family val="2"/>
      <charset val="238"/>
    </font>
    <font>
      <strike/>
      <sz val="8"/>
      <color rgb="FFFF0000"/>
      <name val="Arial"/>
      <family val="2"/>
      <charset val="238"/>
    </font>
    <font>
      <b/>
      <i/>
      <u/>
      <sz val="14"/>
      <color rgb="FFFF0000"/>
      <name val="Arial"/>
      <family val="2"/>
      <charset val="238"/>
    </font>
    <font>
      <b/>
      <i/>
      <u/>
      <sz val="12"/>
      <color rgb="FFFF0000"/>
      <name val="Arial"/>
      <family val="2"/>
      <charset val="238"/>
    </font>
    <font>
      <sz val="10"/>
      <name val="Arial"/>
      <family val="2"/>
      <charset val="238"/>
    </font>
    <font>
      <b/>
      <sz val="14"/>
      <color rgb="FFD20000"/>
      <name val="Arial"/>
      <family val="2"/>
      <charset val="238"/>
    </font>
    <font>
      <b/>
      <sz val="16"/>
      <color rgb="FFD20000"/>
      <name val="Arial"/>
      <family val="2"/>
      <charset val="238"/>
    </font>
    <font>
      <b/>
      <sz val="14"/>
      <color rgb="FF0000FF"/>
      <name val="Arial"/>
      <family val="2"/>
      <charset val="238"/>
    </font>
    <font>
      <sz val="10"/>
      <color theme="1"/>
      <name val="Arial"/>
      <family val="2"/>
      <charset val="238"/>
    </font>
  </fonts>
  <fills count="29">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9"/>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49"/>
      </patternFill>
    </fill>
    <fill>
      <patternFill patternType="solid">
        <fgColor indexed="10"/>
      </patternFill>
    </fill>
    <fill>
      <patternFill patternType="solid">
        <fgColor indexed="54"/>
      </patternFill>
    </fill>
    <fill>
      <patternFill patternType="solid">
        <fgColor indexed="55"/>
      </patternFill>
    </fill>
    <fill>
      <patternFill patternType="solid">
        <fgColor indexed="46"/>
      </patternFill>
    </fill>
    <fill>
      <patternFill patternType="solid">
        <fgColor indexed="56"/>
      </patternFill>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indexed="16"/>
        <bgColor indexed="64"/>
      </patternFill>
    </fill>
    <fill>
      <patternFill patternType="solid">
        <fgColor theme="0"/>
        <bgColor indexed="64"/>
      </patternFill>
    </fill>
    <fill>
      <patternFill patternType="solid">
        <fgColor rgb="FF9E0000"/>
        <bgColor indexed="64"/>
      </patternFill>
    </fill>
    <fill>
      <patternFill patternType="solid">
        <fgColor theme="8" tint="0.39997558519241921"/>
        <bgColor indexed="64"/>
      </patternFill>
    </fill>
    <fill>
      <patternFill patternType="solid">
        <fgColor theme="0" tint="-0.249977111117893"/>
        <bgColor indexed="64"/>
      </patternFill>
    </fill>
    <fill>
      <patternFill patternType="solid">
        <fgColor rgb="FFFFC000"/>
        <bgColor indexed="64"/>
      </patternFill>
    </fill>
    <fill>
      <patternFill patternType="solid">
        <fgColor rgb="FFFFFF00"/>
        <bgColor indexed="64"/>
      </patternFill>
    </fill>
    <fill>
      <patternFill patternType="solid">
        <fgColor rgb="FFFFFFCC"/>
        <bgColor indexed="64"/>
      </patternFill>
    </fill>
  </fills>
  <borders count="59">
    <border>
      <left/>
      <right/>
      <top/>
      <bottom/>
      <diagonal/>
    </border>
    <border>
      <left style="thin">
        <color indexed="23"/>
      </left>
      <right style="thin">
        <color indexed="23"/>
      </right>
      <top style="thin">
        <color indexed="23"/>
      </top>
      <bottom style="thin">
        <color indexed="23"/>
      </bottom>
      <diagonal/>
    </border>
    <border>
      <left/>
      <right/>
      <top style="thin">
        <color indexed="56"/>
      </top>
      <bottom style="double">
        <color indexed="56"/>
      </bottom>
      <diagonal/>
    </border>
    <border>
      <left style="double">
        <color indexed="63"/>
      </left>
      <right style="double">
        <color indexed="63"/>
      </right>
      <top style="double">
        <color indexed="63"/>
      </top>
      <bottom style="double">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double">
        <color indexed="10"/>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medium">
        <color indexed="8"/>
      </right>
      <top style="medium">
        <color indexed="64"/>
      </top>
      <bottom style="medium">
        <color indexed="64"/>
      </bottom>
      <diagonal/>
    </border>
    <border>
      <left/>
      <right/>
      <top style="medium">
        <color indexed="64"/>
      </top>
      <bottom/>
      <diagonal/>
    </border>
    <border>
      <left/>
      <right/>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bottom/>
      <diagonal/>
    </border>
    <border>
      <left style="thin">
        <color indexed="64"/>
      </left>
      <right style="thin">
        <color indexed="64"/>
      </right>
      <top/>
      <bottom style="thin">
        <color indexed="64"/>
      </bottom>
      <diagonal/>
    </border>
    <border>
      <left/>
      <right style="thin">
        <color indexed="64"/>
      </right>
      <top/>
      <bottom/>
      <diagonal/>
    </border>
    <border>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auto="1"/>
      </left>
      <right style="thin">
        <color auto="1"/>
      </right>
      <top style="thin">
        <color auto="1"/>
      </top>
      <bottom style="thin">
        <color auto="1"/>
      </bottom>
      <diagonal/>
    </border>
    <border>
      <left/>
      <right/>
      <top style="thin">
        <color auto="1"/>
      </top>
      <bottom/>
      <diagonal/>
    </border>
    <border>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47">
    <xf numFmtId="0" fontId="0"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4" borderId="0" applyNumberFormat="0" applyBorder="0" applyAlignment="0" applyProtection="0"/>
    <xf numFmtId="0" fontId="14" fillId="6" borderId="0" applyNumberFormat="0" applyBorder="0" applyAlignment="0" applyProtection="0"/>
    <xf numFmtId="0" fontId="14" fillId="3"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6" borderId="0" applyNumberFormat="0" applyBorder="0" applyAlignment="0" applyProtection="0"/>
    <xf numFmtId="0" fontId="14" fillId="4" borderId="0" applyNumberFormat="0" applyBorder="0" applyAlignment="0" applyProtection="0"/>
    <xf numFmtId="0" fontId="15" fillId="6"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9" borderId="0" applyNumberFormat="0" applyBorder="0" applyAlignment="0" applyProtection="0"/>
    <xf numFmtId="0" fontId="15" fillId="6" borderId="0" applyNumberFormat="0" applyBorder="0" applyAlignment="0" applyProtection="0"/>
    <xf numFmtId="0" fontId="15" fillId="3" borderId="0" applyNumberFormat="0" applyBorder="0" applyAlignment="0" applyProtection="0"/>
    <xf numFmtId="0" fontId="16" fillId="0" borderId="2" applyNumberFormat="0" applyFill="0" applyAlignment="0" applyProtection="0"/>
    <xf numFmtId="0" fontId="17" fillId="16" borderId="0" applyNumberFormat="0" applyBorder="0" applyAlignment="0" applyProtection="0"/>
    <xf numFmtId="0" fontId="18" fillId="15" borderId="3" applyNumberFormat="0" applyAlignment="0" applyProtection="0"/>
    <xf numFmtId="0" fontId="19" fillId="0" borderId="4" applyNumberFormat="0" applyFill="0" applyAlignment="0" applyProtection="0"/>
    <xf numFmtId="0" fontId="20" fillId="0" borderId="5" applyNumberFormat="0" applyFill="0" applyAlignment="0" applyProtection="0"/>
    <xf numFmtId="0" fontId="21" fillId="0" borderId="6" applyNumberFormat="0" applyFill="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3" fillId="8" borderId="0" applyNumberFormat="0" applyBorder="0" applyAlignment="0" applyProtection="0"/>
    <xf numFmtId="0" fontId="2" fillId="0" borderId="0"/>
    <xf numFmtId="0" fontId="1" fillId="4" borderId="7" applyNumberFormat="0" applyFont="0" applyAlignment="0" applyProtection="0"/>
    <xf numFmtId="0" fontId="24" fillId="0" borderId="9" applyNumberFormat="0" applyFill="0" applyAlignment="0" applyProtection="0"/>
    <xf numFmtId="0" fontId="25" fillId="6" borderId="0" applyNumberFormat="0" applyBorder="0" applyAlignment="0" applyProtection="0"/>
    <xf numFmtId="0" fontId="24" fillId="0" borderId="0" applyNumberFormat="0" applyFill="0" applyBorder="0" applyAlignment="0" applyProtection="0"/>
    <xf numFmtId="0" fontId="26" fillId="8" borderId="1" applyNumberFormat="0" applyAlignment="0" applyProtection="0"/>
    <xf numFmtId="0" fontId="27" fillId="7" borderId="1" applyNumberFormat="0" applyAlignment="0" applyProtection="0"/>
    <xf numFmtId="0" fontId="28" fillId="7" borderId="8" applyNumberFormat="0" applyAlignment="0" applyProtection="0"/>
    <xf numFmtId="0" fontId="29" fillId="0" borderId="0" applyNumberFormat="0" applyFill="0" applyBorder="0" applyAlignment="0" applyProtection="0"/>
    <xf numFmtId="0" fontId="15" fillId="17"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 fillId="0" borderId="0"/>
    <xf numFmtId="0" fontId="1" fillId="0" borderId="0"/>
    <xf numFmtId="0" fontId="95" fillId="0" borderId="0" applyNumberFormat="0" applyFill="0" applyBorder="0" applyAlignment="0" applyProtection="0">
      <alignment vertical="top"/>
      <protection locked="0"/>
    </xf>
    <xf numFmtId="9" fontId="108" fillId="0" borderId="0" applyFont="0" applyFill="0" applyBorder="0" applyAlignment="0" applyProtection="0"/>
  </cellStyleXfs>
  <cellXfs count="661">
    <xf numFmtId="0" fontId="0" fillId="0" borderId="0" xfId="0"/>
    <xf numFmtId="0" fontId="7" fillId="0" borderId="0" xfId="0" applyFont="1"/>
    <xf numFmtId="0" fontId="10" fillId="0" borderId="0" xfId="0" applyFont="1" applyAlignment="1">
      <alignment horizontal="center"/>
    </xf>
    <xf numFmtId="0" fontId="11" fillId="0" borderId="10" xfId="0" applyFont="1" applyBorder="1" applyAlignment="1">
      <alignment horizontal="center"/>
    </xf>
    <xf numFmtId="164" fontId="9" fillId="19" borderId="11" xfId="0" applyNumberFormat="1" applyFont="1" applyFill="1" applyBorder="1" applyAlignment="1">
      <alignment horizontal="center" wrapText="1"/>
    </xf>
    <xf numFmtId="165" fontId="11" fillId="18" borderId="12" xfId="0" applyNumberFormat="1" applyFont="1" applyFill="1" applyBorder="1" applyAlignment="1">
      <alignment horizontal="center"/>
    </xf>
    <xf numFmtId="0" fontId="11" fillId="0" borderId="0" xfId="0" applyFont="1" applyAlignment="1">
      <alignment horizontal="center"/>
    </xf>
    <xf numFmtId="165" fontId="11" fillId="18" borderId="14" xfId="0" applyNumberFormat="1" applyFont="1" applyFill="1" applyBorder="1" applyAlignment="1">
      <alignment horizontal="center"/>
    </xf>
    <xf numFmtId="165" fontId="11" fillId="18" borderId="15" xfId="0" applyNumberFormat="1" applyFont="1" applyFill="1" applyBorder="1" applyAlignment="1">
      <alignment horizontal="center"/>
    </xf>
    <xf numFmtId="2" fontId="0" fillId="0" borderId="0" xfId="0" applyNumberFormat="1"/>
    <xf numFmtId="2" fontId="8" fillId="19" borderId="16" xfId="0" applyNumberFormat="1" applyFont="1" applyFill="1" applyBorder="1" applyAlignment="1">
      <alignment horizontal="center" wrapText="1"/>
    </xf>
    <xf numFmtId="2" fontId="9" fillId="19" borderId="11" xfId="0" applyNumberFormat="1" applyFont="1" applyFill="1" applyBorder="1" applyAlignment="1">
      <alignment horizontal="center" wrapText="1"/>
    </xf>
    <xf numFmtId="2" fontId="11" fillId="18" borderId="12" xfId="0" applyNumberFormat="1" applyFont="1" applyFill="1" applyBorder="1" applyAlignment="1">
      <alignment horizontal="center"/>
    </xf>
    <xf numFmtId="2" fontId="11" fillId="18" borderId="13" xfId="0" applyNumberFormat="1" applyFont="1" applyFill="1" applyBorder="1" applyAlignment="1">
      <alignment horizontal="center"/>
    </xf>
    <xf numFmtId="2" fontId="11" fillId="18" borderId="14" xfId="0" applyNumberFormat="1" applyFont="1" applyFill="1" applyBorder="1" applyAlignment="1">
      <alignment horizontal="center"/>
    </xf>
    <xf numFmtId="2" fontId="11" fillId="18" borderId="15" xfId="0" applyNumberFormat="1" applyFont="1" applyFill="1" applyBorder="1" applyAlignment="1">
      <alignment horizontal="center"/>
    </xf>
    <xf numFmtId="2" fontId="11" fillId="0" borderId="0" xfId="0" applyNumberFormat="1" applyFont="1" applyAlignment="1">
      <alignment horizontal="center"/>
    </xf>
    <xf numFmtId="2" fontId="9" fillId="0" borderId="0" xfId="0" applyNumberFormat="1" applyFont="1" applyFill="1" applyBorder="1" applyAlignment="1">
      <alignment horizontal="center" wrapText="1"/>
    </xf>
    <xf numFmtId="2" fontId="11" fillId="0" borderId="0" xfId="0" applyNumberFormat="1" applyFont="1" applyFill="1" applyBorder="1" applyAlignment="1">
      <alignment horizontal="center"/>
    </xf>
    <xf numFmtId="2" fontId="0" fillId="0" borderId="0" xfId="0" applyNumberFormat="1" applyFill="1" applyBorder="1"/>
    <xf numFmtId="2" fontId="8" fillId="19" borderId="17" xfId="0" applyNumberFormat="1" applyFont="1" applyFill="1" applyBorder="1" applyAlignment="1">
      <alignment horizontal="center" wrapText="1"/>
    </xf>
    <xf numFmtId="0" fontId="11" fillId="0" borderId="0" xfId="0" applyFont="1" applyBorder="1" applyAlignment="1">
      <alignment horizontal="center"/>
    </xf>
    <xf numFmtId="0" fontId="9" fillId="19" borderId="11" xfId="0" applyFont="1" applyFill="1" applyBorder="1" applyAlignment="1">
      <alignment horizontal="center" wrapText="1"/>
    </xf>
    <xf numFmtId="0" fontId="37" fillId="18" borderId="0" xfId="0" applyFont="1" applyFill="1" applyBorder="1" applyAlignment="1" applyProtection="1">
      <alignment horizontal="center" vertical="center" wrapText="1"/>
      <protection hidden="1"/>
    </xf>
    <xf numFmtId="0" fontId="0" fillId="18" borderId="0" xfId="0" applyFill="1" applyProtection="1">
      <protection hidden="1"/>
    </xf>
    <xf numFmtId="0" fontId="39" fillId="18" borderId="0" xfId="0" applyFont="1" applyFill="1" applyBorder="1" applyAlignment="1" applyProtection="1">
      <alignment horizontal="left"/>
      <protection hidden="1"/>
    </xf>
    <xf numFmtId="0" fontId="36" fillId="18" borderId="0" xfId="0" applyFont="1" applyFill="1" applyBorder="1" applyProtection="1">
      <protection hidden="1"/>
    </xf>
    <xf numFmtId="0" fontId="36" fillId="18" borderId="0" xfId="0" applyFont="1" applyFill="1" applyProtection="1">
      <protection hidden="1"/>
    </xf>
    <xf numFmtId="0" fontId="0" fillId="18" borderId="0" xfId="0" applyFill="1" applyBorder="1" applyProtection="1">
      <protection hidden="1"/>
    </xf>
    <xf numFmtId="0" fontId="38" fillId="18" borderId="20" xfId="0" applyFont="1" applyFill="1" applyBorder="1" applyAlignment="1" applyProtection="1">
      <protection hidden="1"/>
    </xf>
    <xf numFmtId="0" fontId="0" fillId="18" borderId="17" xfId="0" applyFill="1" applyBorder="1" applyAlignment="1" applyProtection="1">
      <protection hidden="1"/>
    </xf>
    <xf numFmtId="0" fontId="38" fillId="18" borderId="21" xfId="0" applyFont="1" applyFill="1" applyBorder="1" applyAlignment="1" applyProtection="1">
      <protection hidden="1"/>
    </xf>
    <xf numFmtId="0" fontId="0" fillId="18" borderId="22" xfId="0" applyFill="1" applyBorder="1" applyAlignment="1" applyProtection="1">
      <protection hidden="1"/>
    </xf>
    <xf numFmtId="0" fontId="0" fillId="18" borderId="0" xfId="0" applyFill="1" applyAlignment="1" applyProtection="1">
      <alignment horizontal="right"/>
      <protection hidden="1"/>
    </xf>
    <xf numFmtId="49" fontId="7" fillId="19" borderId="10" xfId="0" applyNumberFormat="1" applyFont="1" applyFill="1" applyBorder="1" applyAlignment="1" applyProtection="1">
      <alignment horizontal="left"/>
      <protection locked="0"/>
    </xf>
    <xf numFmtId="49" fontId="7" fillId="20" borderId="10" xfId="0" applyNumberFormat="1" applyFont="1" applyFill="1" applyBorder="1" applyAlignment="1" applyProtection="1">
      <alignment horizontal="left"/>
      <protection locked="0"/>
    </xf>
    <xf numFmtId="0" fontId="9" fillId="19" borderId="14" xfId="0" applyFont="1" applyFill="1" applyBorder="1" applyAlignment="1">
      <alignment horizontal="center" wrapText="1"/>
    </xf>
    <xf numFmtId="49" fontId="7" fillId="19" borderId="16" xfId="0" applyNumberFormat="1" applyFont="1" applyFill="1" applyBorder="1" applyAlignment="1" applyProtection="1">
      <alignment horizontal="left"/>
      <protection locked="0"/>
    </xf>
    <xf numFmtId="0" fontId="0" fillId="18" borderId="0" xfId="0" applyFill="1" applyAlignment="1" applyProtection="1">
      <alignment vertical="top"/>
      <protection hidden="1"/>
    </xf>
    <xf numFmtId="0" fontId="46" fillId="0" borderId="0" xfId="0" applyFont="1"/>
    <xf numFmtId="0" fontId="43" fillId="0" borderId="0" xfId="0" applyFont="1" applyAlignment="1">
      <alignment horizontal="justify"/>
    </xf>
    <xf numFmtId="0" fontId="44" fillId="0" borderId="0" xfId="0" applyFont="1"/>
    <xf numFmtId="0" fontId="34" fillId="0" borderId="0" xfId="0" applyFont="1"/>
    <xf numFmtId="0" fontId="45" fillId="0" borderId="0" xfId="0" applyFont="1" applyAlignment="1">
      <alignment vertical="top" wrapText="1"/>
    </xf>
    <xf numFmtId="0" fontId="0" fillId="0" borderId="0" xfId="0" applyAlignment="1">
      <alignment wrapText="1"/>
    </xf>
    <xf numFmtId="0" fontId="50" fillId="22" borderId="0" xfId="0" applyFont="1" applyFill="1" applyAlignment="1" applyProtection="1">
      <alignment vertical="top"/>
      <protection hidden="1"/>
    </xf>
    <xf numFmtId="0" fontId="1" fillId="18" borderId="0" xfId="0" applyFont="1" applyFill="1" applyProtection="1">
      <protection hidden="1"/>
    </xf>
    <xf numFmtId="0" fontId="0" fillId="22" borderId="0" xfId="0" applyFill="1"/>
    <xf numFmtId="0" fontId="50" fillId="22" borderId="0" xfId="0" applyFont="1" applyFill="1" applyProtection="1">
      <protection hidden="1"/>
    </xf>
    <xf numFmtId="0" fontId="0" fillId="22" borderId="0" xfId="0" applyFill="1" applyProtection="1">
      <protection hidden="1"/>
    </xf>
    <xf numFmtId="0" fontId="38" fillId="18" borderId="11" xfId="0" applyFont="1" applyFill="1" applyBorder="1" applyAlignment="1" applyProtection="1">
      <protection hidden="1"/>
    </xf>
    <xf numFmtId="0" fontId="0" fillId="18" borderId="15" xfId="0" applyFill="1" applyBorder="1" applyAlignment="1" applyProtection="1">
      <protection hidden="1"/>
    </xf>
    <xf numFmtId="49" fontId="7" fillId="19" borderId="14" xfId="0" applyNumberFormat="1" applyFont="1" applyFill="1" applyBorder="1" applyAlignment="1" applyProtection="1">
      <alignment horizontal="left"/>
      <protection locked="0"/>
    </xf>
    <xf numFmtId="2" fontId="56" fillId="0" borderId="0" xfId="0" applyNumberFormat="1" applyFont="1"/>
    <xf numFmtId="165" fontId="9" fillId="19" borderId="11" xfId="0" applyNumberFormat="1" applyFont="1" applyFill="1" applyBorder="1" applyAlignment="1">
      <alignment horizontal="center" wrapText="1"/>
    </xf>
    <xf numFmtId="0" fontId="4" fillId="20" borderId="18" xfId="0" applyFont="1" applyFill="1" applyBorder="1" applyAlignment="1" applyProtection="1">
      <alignment horizontal="center"/>
      <protection hidden="1"/>
    </xf>
    <xf numFmtId="0" fontId="5" fillId="20" borderId="19" xfId="28" applyFont="1" applyFill="1" applyBorder="1" applyAlignment="1" applyProtection="1">
      <alignment horizontal="right" vertical="center"/>
      <protection hidden="1"/>
    </xf>
    <xf numFmtId="0" fontId="61" fillId="20" borderId="19" xfId="28" applyFont="1" applyFill="1" applyBorder="1" applyAlignment="1" applyProtection="1">
      <alignment horizontal="center" vertical="center"/>
      <protection hidden="1"/>
    </xf>
    <xf numFmtId="0" fontId="5" fillId="20" borderId="13" xfId="28" applyFont="1" applyFill="1" applyBorder="1" applyAlignment="1" applyProtection="1">
      <alignment vertical="center"/>
      <protection hidden="1"/>
    </xf>
    <xf numFmtId="0" fontId="1" fillId="18" borderId="25" xfId="28" applyFont="1" applyFill="1" applyBorder="1" applyAlignment="1" applyProtection="1">
      <alignment horizontal="right" vertical="center"/>
      <protection hidden="1"/>
    </xf>
    <xf numFmtId="0" fontId="1" fillId="18" borderId="0" xfId="28" applyFont="1" applyFill="1" applyBorder="1" applyAlignment="1" applyProtection="1">
      <alignment horizontal="right" vertical="center"/>
      <protection hidden="1"/>
    </xf>
    <xf numFmtId="0" fontId="33" fillId="22" borderId="0" xfId="28" applyFont="1" applyFill="1" applyBorder="1" applyAlignment="1" applyProtection="1">
      <alignment horizontal="center" vertical="center"/>
      <protection hidden="1"/>
    </xf>
    <xf numFmtId="0" fontId="33" fillId="22" borderId="0" xfId="0" applyFont="1" applyFill="1" applyBorder="1" applyAlignment="1" applyProtection="1">
      <alignment horizontal="center" vertical="center"/>
      <protection hidden="1"/>
    </xf>
    <xf numFmtId="3" fontId="65" fillId="22" borderId="0" xfId="0" applyNumberFormat="1" applyFont="1" applyFill="1" applyBorder="1" applyAlignment="1" applyProtection="1">
      <alignment horizontal="center" vertical="center"/>
      <protection hidden="1"/>
    </xf>
    <xf numFmtId="164" fontId="66" fillId="22" borderId="0" xfId="0" applyNumberFormat="1" applyFont="1" applyFill="1" applyBorder="1" applyAlignment="1" applyProtection="1">
      <alignment horizontal="center" vertical="center" wrapText="1"/>
      <protection hidden="1"/>
    </xf>
    <xf numFmtId="0" fontId="64" fillId="22" borderId="0" xfId="0" applyFont="1" applyFill="1" applyProtection="1">
      <protection hidden="1"/>
    </xf>
    <xf numFmtId="14" fontId="0" fillId="22" borderId="33" xfId="0" applyNumberFormat="1" applyFill="1" applyBorder="1" applyAlignment="1" applyProtection="1">
      <alignment horizontal="center" vertical="center"/>
      <protection hidden="1"/>
    </xf>
    <xf numFmtId="0" fontId="0" fillId="22" borderId="0" xfId="0" applyFill="1" applyAlignment="1" applyProtection="1">
      <alignment horizontal="right" vertical="center"/>
      <protection hidden="1"/>
    </xf>
    <xf numFmtId="0" fontId="0" fillId="22" borderId="21" xfId="0" applyFill="1" applyBorder="1" applyProtection="1">
      <protection hidden="1"/>
    </xf>
    <xf numFmtId="0" fontId="1" fillId="22" borderId="0" xfId="0" applyFont="1" applyFill="1" applyBorder="1" applyAlignment="1" applyProtection="1">
      <alignment horizontal="right" vertical="center"/>
      <protection hidden="1"/>
    </xf>
    <xf numFmtId="0" fontId="0" fillId="22" borderId="22" xfId="0" applyFill="1" applyBorder="1" applyProtection="1">
      <protection hidden="1"/>
    </xf>
    <xf numFmtId="0" fontId="63" fillId="22" borderId="0" xfId="0" applyFont="1" applyFill="1" applyAlignment="1" applyProtection="1">
      <alignment horizontal="center" vertical="center"/>
      <protection hidden="1"/>
    </xf>
    <xf numFmtId="0" fontId="1" fillId="22" borderId="0" xfId="0" applyFont="1" applyFill="1" applyAlignment="1" applyProtection="1">
      <alignment horizontal="center"/>
      <protection hidden="1"/>
    </xf>
    <xf numFmtId="0" fontId="63" fillId="22" borderId="0" xfId="0" applyFont="1" applyFill="1" applyAlignment="1" applyProtection="1">
      <alignment horizontal="center"/>
      <protection hidden="1"/>
    </xf>
    <xf numFmtId="0" fontId="67" fillId="22" borderId="0" xfId="0" applyFont="1" applyFill="1" applyProtection="1">
      <protection hidden="1"/>
    </xf>
    <xf numFmtId="0" fontId="1" fillId="22" borderId="0" xfId="0" applyFont="1" applyFill="1" applyProtection="1">
      <protection hidden="1"/>
    </xf>
    <xf numFmtId="0" fontId="0" fillId="22" borderId="11" xfId="0" applyFill="1" applyBorder="1" applyProtection="1">
      <protection hidden="1"/>
    </xf>
    <xf numFmtId="0" fontId="0" fillId="22" borderId="15" xfId="0" applyFill="1" applyBorder="1" applyProtection="1">
      <protection hidden="1"/>
    </xf>
    <xf numFmtId="0" fontId="13" fillId="23" borderId="30" xfId="0" applyFont="1" applyFill="1" applyBorder="1" applyAlignment="1" applyProtection="1">
      <alignment horizontal="centerContinuous"/>
      <protection hidden="1"/>
    </xf>
    <xf numFmtId="0" fontId="13" fillId="23" borderId="36" xfId="0" applyFont="1" applyFill="1" applyBorder="1" applyAlignment="1" applyProtection="1">
      <alignment horizontal="centerContinuous"/>
      <protection hidden="1"/>
    </xf>
    <xf numFmtId="0" fontId="13" fillId="23" borderId="31" xfId="0" applyFont="1" applyFill="1" applyBorder="1" applyAlignment="1" applyProtection="1">
      <alignment horizontal="centerContinuous"/>
      <protection hidden="1"/>
    </xf>
    <xf numFmtId="0" fontId="62" fillId="23" borderId="36" xfId="28" applyFont="1" applyFill="1" applyBorder="1" applyAlignment="1" applyProtection="1">
      <alignment horizontal="center" vertical="center"/>
      <protection hidden="1"/>
    </xf>
    <xf numFmtId="0" fontId="62" fillId="23" borderId="31" xfId="0" applyFont="1" applyFill="1" applyBorder="1" applyAlignment="1" applyProtection="1">
      <alignment horizontal="centerContinuous"/>
      <protection hidden="1"/>
    </xf>
    <xf numFmtId="0" fontId="13" fillId="23" borderId="20" xfId="0" applyFont="1" applyFill="1" applyBorder="1" applyAlignment="1" applyProtection="1">
      <alignment horizontal="centerContinuous"/>
      <protection hidden="1"/>
    </xf>
    <xf numFmtId="0" fontId="13" fillId="23" borderId="25" xfId="0" applyFont="1" applyFill="1" applyBorder="1" applyAlignment="1" applyProtection="1">
      <alignment horizontal="centerContinuous"/>
      <protection hidden="1"/>
    </xf>
    <xf numFmtId="0" fontId="13" fillId="23" borderId="11" xfId="0" applyFont="1" applyFill="1" applyBorder="1" applyAlignment="1" applyProtection="1">
      <alignment horizontal="centerContinuous"/>
      <protection hidden="1"/>
    </xf>
    <xf numFmtId="0" fontId="13" fillId="23" borderId="26" xfId="0" applyFont="1" applyFill="1" applyBorder="1" applyAlignment="1" applyProtection="1">
      <alignment horizontal="centerContinuous"/>
      <protection hidden="1"/>
    </xf>
    <xf numFmtId="0" fontId="62" fillId="23" borderId="26" xfId="28" applyFont="1" applyFill="1" applyBorder="1" applyAlignment="1" applyProtection="1">
      <alignment horizontal="right" vertical="center"/>
      <protection hidden="1"/>
    </xf>
    <xf numFmtId="0" fontId="68" fillId="23" borderId="18" xfId="28" applyFont="1" applyFill="1" applyBorder="1" applyAlignment="1" applyProtection="1">
      <alignment horizontal="left" vertical="center"/>
      <protection hidden="1"/>
    </xf>
    <xf numFmtId="171" fontId="69" fillId="23" borderId="19" xfId="28" applyNumberFormat="1" applyFont="1" applyFill="1" applyBorder="1" applyAlignment="1" applyProtection="1">
      <alignment horizontal="right" vertical="center"/>
      <protection hidden="1"/>
    </xf>
    <xf numFmtId="3" fontId="71" fillId="23" borderId="19" xfId="28" applyNumberFormat="1" applyFont="1" applyFill="1" applyBorder="1" applyAlignment="1" applyProtection="1">
      <alignment horizontal="right" vertical="center"/>
      <protection hidden="1"/>
    </xf>
    <xf numFmtId="0" fontId="74" fillId="23" borderId="36" xfId="28" applyFont="1" applyFill="1" applyBorder="1" applyAlignment="1" applyProtection="1">
      <alignment horizontal="center" vertical="center"/>
      <protection hidden="1"/>
    </xf>
    <xf numFmtId="0" fontId="1" fillId="20" borderId="18" xfId="28" applyFont="1" applyFill="1" applyBorder="1" applyAlignment="1" applyProtection="1">
      <alignment horizontal="center" vertical="center"/>
      <protection hidden="1"/>
    </xf>
    <xf numFmtId="0" fontId="1" fillId="20" borderId="19" xfId="28" applyFont="1" applyFill="1" applyBorder="1" applyAlignment="1" applyProtection="1">
      <alignment horizontal="center" vertical="center"/>
      <protection hidden="1"/>
    </xf>
    <xf numFmtId="0" fontId="75" fillId="20" borderId="19" xfId="28" applyFont="1" applyFill="1" applyBorder="1" applyAlignment="1" applyProtection="1">
      <alignment horizontal="center" vertical="center"/>
      <protection hidden="1"/>
    </xf>
    <xf numFmtId="0" fontId="1" fillId="20" borderId="13" xfId="28" applyFont="1" applyFill="1" applyBorder="1" applyAlignment="1" applyProtection="1">
      <alignment vertical="center"/>
      <protection hidden="1"/>
    </xf>
    <xf numFmtId="0" fontId="0" fillId="22" borderId="0" xfId="0" applyFill="1" applyProtection="1">
      <protection locked="0"/>
    </xf>
    <xf numFmtId="0" fontId="76" fillId="20" borderId="19" xfId="28" applyFont="1" applyFill="1" applyBorder="1" applyAlignment="1" applyProtection="1">
      <alignment horizontal="right" vertical="center"/>
      <protection hidden="1"/>
    </xf>
    <xf numFmtId="14" fontId="0" fillId="22" borderId="0" xfId="0" applyNumberFormat="1" applyFill="1" applyProtection="1">
      <protection hidden="1"/>
    </xf>
    <xf numFmtId="0" fontId="1" fillId="22" borderId="0" xfId="0" applyFont="1" applyFill="1" applyAlignment="1" applyProtection="1">
      <alignment horizontal="right"/>
      <protection hidden="1"/>
    </xf>
    <xf numFmtId="14" fontId="1" fillId="22" borderId="0" xfId="0" applyNumberFormat="1" applyFont="1" applyFill="1" applyProtection="1">
      <protection hidden="1"/>
    </xf>
    <xf numFmtId="0" fontId="77" fillId="22" borderId="0" xfId="0" applyFont="1" applyFill="1" applyAlignment="1" applyProtection="1">
      <alignment horizontal="center"/>
      <protection hidden="1"/>
    </xf>
    <xf numFmtId="0" fontId="1" fillId="22" borderId="0" xfId="0" applyFont="1" applyFill="1" applyAlignment="1" applyProtection="1">
      <alignment horizontal="center" vertical="center"/>
      <protection hidden="1"/>
    </xf>
    <xf numFmtId="0" fontId="0" fillId="22" borderId="0" xfId="0" applyFill="1" applyAlignment="1" applyProtection="1">
      <alignment horizontal="center" vertical="center"/>
      <protection hidden="1"/>
    </xf>
    <xf numFmtId="14" fontId="0" fillId="24" borderId="0" xfId="0" applyNumberFormat="1" applyFill="1" applyProtection="1">
      <protection hidden="1"/>
    </xf>
    <xf numFmtId="170" fontId="62" fillId="23" borderId="17" xfId="0" applyNumberFormat="1" applyFont="1" applyFill="1" applyBorder="1" applyAlignment="1" applyProtection="1">
      <alignment horizontal="centerContinuous"/>
      <protection hidden="1"/>
    </xf>
    <xf numFmtId="170" fontId="62" fillId="23" borderId="15" xfId="0" applyNumberFormat="1" applyFont="1" applyFill="1" applyBorder="1" applyAlignment="1" applyProtection="1">
      <alignment horizontal="centerContinuous"/>
      <protection hidden="1"/>
    </xf>
    <xf numFmtId="170" fontId="0" fillId="22" borderId="22" xfId="0" applyNumberFormat="1" applyFill="1" applyBorder="1" applyAlignment="1" applyProtection="1">
      <alignment horizontal="center" vertical="center"/>
      <protection hidden="1"/>
    </xf>
    <xf numFmtId="0" fontId="1" fillId="22" borderId="0" xfId="0" applyFont="1" applyFill="1" applyAlignment="1" applyProtection="1">
      <alignment horizontal="center" vertical="center" wrapText="1"/>
      <protection hidden="1"/>
    </xf>
    <xf numFmtId="165" fontId="78" fillId="23" borderId="19" xfId="28" applyNumberFormat="1" applyFont="1" applyFill="1" applyBorder="1" applyAlignment="1" applyProtection="1">
      <alignment horizontal="center" vertical="center"/>
      <protection hidden="1"/>
    </xf>
    <xf numFmtId="170" fontId="79" fillId="20" borderId="13" xfId="28" applyNumberFormat="1" applyFont="1" applyFill="1" applyBorder="1" applyAlignment="1" applyProtection="1">
      <alignment horizontal="center" vertical="center"/>
      <protection hidden="1"/>
    </xf>
    <xf numFmtId="0" fontId="1" fillId="22" borderId="26" xfId="0" applyFont="1" applyFill="1" applyBorder="1" applyAlignment="1" applyProtection="1">
      <alignment horizontal="right" vertical="center"/>
      <protection hidden="1"/>
    </xf>
    <xf numFmtId="0" fontId="64" fillId="22" borderId="0" xfId="0" applyFont="1" applyFill="1"/>
    <xf numFmtId="0" fontId="0" fillId="25" borderId="37" xfId="0" applyFill="1" applyBorder="1" applyAlignment="1" applyProtection="1">
      <alignment horizontal="center" vertical="center"/>
      <protection locked="0"/>
    </xf>
    <xf numFmtId="0" fontId="0" fillId="25" borderId="34" xfId="0" applyFill="1" applyBorder="1" applyAlignment="1" applyProtection="1">
      <alignment horizontal="center" vertical="center"/>
      <protection locked="0"/>
    </xf>
    <xf numFmtId="169" fontId="0" fillId="25" borderId="33" xfId="0" applyNumberFormat="1" applyFill="1" applyBorder="1" applyAlignment="1" applyProtection="1">
      <alignment horizontal="center" vertical="center"/>
      <protection locked="0"/>
    </xf>
    <xf numFmtId="0" fontId="80" fillId="18" borderId="0" xfId="0" applyFont="1" applyFill="1" applyProtection="1">
      <protection hidden="1"/>
    </xf>
    <xf numFmtId="0" fontId="81" fillId="18" borderId="0" xfId="0" applyFont="1" applyFill="1" applyProtection="1">
      <protection hidden="1"/>
    </xf>
    <xf numFmtId="7" fontId="62" fillId="23" borderId="17" xfId="0" applyNumberFormat="1" applyFont="1" applyFill="1" applyBorder="1" applyAlignment="1" applyProtection="1">
      <alignment horizontal="center" vertical="center"/>
      <protection hidden="1"/>
    </xf>
    <xf numFmtId="7" fontId="62" fillId="23" borderId="15" xfId="0" applyNumberFormat="1" applyFont="1" applyFill="1" applyBorder="1" applyAlignment="1" applyProtection="1">
      <alignment horizontal="center" vertical="center"/>
      <protection hidden="1"/>
    </xf>
    <xf numFmtId="0" fontId="38" fillId="18" borderId="20" xfId="0" applyFont="1" applyFill="1" applyBorder="1" applyAlignment="1" applyProtection="1">
      <alignment vertical="center"/>
      <protection hidden="1"/>
    </xf>
    <xf numFmtId="0" fontId="0" fillId="18" borderId="17" xfId="0" applyFill="1" applyBorder="1" applyAlignment="1" applyProtection="1">
      <alignment vertical="center"/>
      <protection hidden="1"/>
    </xf>
    <xf numFmtId="49" fontId="7" fillId="19" borderId="16" xfId="0" applyNumberFormat="1" applyFont="1" applyFill="1" applyBorder="1" applyAlignment="1" applyProtection="1">
      <alignment horizontal="left" vertical="center"/>
      <protection locked="0"/>
    </xf>
    <xf numFmtId="49" fontId="7" fillId="19" borderId="10" xfId="0" applyNumberFormat="1" applyFont="1" applyFill="1" applyBorder="1" applyAlignment="1" applyProtection="1">
      <alignment horizontal="left" vertical="center"/>
      <protection locked="0"/>
    </xf>
    <xf numFmtId="0" fontId="64" fillId="18" borderId="0" xfId="0" applyFont="1" applyFill="1" applyBorder="1" applyProtection="1">
      <protection hidden="1"/>
    </xf>
    <xf numFmtId="0" fontId="38" fillId="22" borderId="25" xfId="0" applyFont="1" applyFill="1" applyBorder="1" applyAlignment="1" applyProtection="1">
      <alignment vertical="center"/>
      <protection hidden="1"/>
    </xf>
    <xf numFmtId="0" fontId="0" fillId="22" borderId="25" xfId="0" applyFill="1" applyBorder="1" applyAlignment="1" applyProtection="1">
      <alignment vertical="center"/>
      <protection hidden="1"/>
    </xf>
    <xf numFmtId="0" fontId="64" fillId="18" borderId="0" xfId="0" applyFont="1" applyFill="1" applyProtection="1">
      <protection hidden="1"/>
    </xf>
    <xf numFmtId="49" fontId="7" fillId="22" borderId="25" xfId="0" applyNumberFormat="1" applyFont="1" applyFill="1" applyBorder="1" applyAlignment="1" applyProtection="1">
      <alignment horizontal="left" vertical="center"/>
      <protection hidden="1"/>
    </xf>
    <xf numFmtId="49" fontId="7" fillId="22" borderId="25" xfId="0" applyNumberFormat="1" applyFont="1" applyFill="1" applyBorder="1" applyAlignment="1" applyProtection="1">
      <alignment horizontal="left"/>
      <protection hidden="1"/>
    </xf>
    <xf numFmtId="0" fontId="67" fillId="18" borderId="0" xfId="0" applyFont="1" applyFill="1" applyProtection="1">
      <protection hidden="1"/>
    </xf>
    <xf numFmtId="0" fontId="64" fillId="18" borderId="0" xfId="0" applyFont="1" applyFill="1" applyBorder="1" applyAlignment="1" applyProtection="1">
      <alignment vertical="center"/>
      <protection hidden="1"/>
    </xf>
    <xf numFmtId="0" fontId="50" fillId="22" borderId="0" xfId="0" applyFont="1" applyFill="1" applyAlignment="1" applyProtection="1">
      <alignment vertical="center"/>
      <protection hidden="1"/>
    </xf>
    <xf numFmtId="0" fontId="7" fillId="18" borderId="20" xfId="0" applyFont="1" applyFill="1" applyBorder="1" applyAlignment="1" applyProtection="1">
      <protection locked="0"/>
    </xf>
    <xf numFmtId="14" fontId="7" fillId="18" borderId="21" xfId="0" applyNumberFormat="1" applyFont="1" applyFill="1" applyBorder="1" applyAlignment="1" applyProtection="1">
      <alignment horizontal="left"/>
      <protection locked="0"/>
    </xf>
    <xf numFmtId="172" fontId="7" fillId="18" borderId="14" xfId="0" applyNumberFormat="1" applyFont="1" applyFill="1" applyBorder="1" applyAlignment="1" applyProtection="1">
      <alignment horizontal="left"/>
      <protection locked="0"/>
    </xf>
    <xf numFmtId="14" fontId="7" fillId="18" borderId="10" xfId="0" applyNumberFormat="1" applyFont="1" applyFill="1" applyBorder="1" applyAlignment="1" applyProtection="1">
      <alignment horizontal="left"/>
      <protection locked="0"/>
    </xf>
    <xf numFmtId="14" fontId="1" fillId="25" borderId="33" xfId="0" applyNumberFormat="1" applyFont="1" applyFill="1" applyBorder="1" applyAlignment="1" applyProtection="1">
      <alignment horizontal="center" vertical="center"/>
      <protection locked="0"/>
    </xf>
    <xf numFmtId="0" fontId="0" fillId="26" borderId="0" xfId="0" applyFill="1" applyProtection="1">
      <protection hidden="1"/>
    </xf>
    <xf numFmtId="0" fontId="1" fillId="26" borderId="0" xfId="0" applyFont="1" applyFill="1" applyAlignment="1" applyProtection="1">
      <alignment horizontal="right"/>
      <protection hidden="1"/>
    </xf>
    <xf numFmtId="0" fontId="35" fillId="18" borderId="0" xfId="0" applyFont="1" applyFill="1" applyAlignment="1" applyProtection="1">
      <alignment vertical="top"/>
      <protection locked="0" hidden="1"/>
    </xf>
    <xf numFmtId="0" fontId="34" fillId="18" borderId="0" xfId="0" applyFont="1" applyFill="1" applyAlignment="1" applyProtection="1">
      <alignment vertical="top"/>
      <protection locked="0" hidden="1"/>
    </xf>
    <xf numFmtId="0" fontId="50" fillId="18" borderId="0" xfId="0" applyFont="1" applyFill="1" applyAlignment="1" applyProtection="1">
      <alignment horizontal="center"/>
      <protection locked="0" hidden="1"/>
    </xf>
    <xf numFmtId="0" fontId="0" fillId="18" borderId="0" xfId="0" applyFill="1" applyAlignment="1" applyProtection="1">
      <alignment vertical="top"/>
      <protection locked="0" hidden="1"/>
    </xf>
    <xf numFmtId="0" fontId="48" fillId="18" borderId="0" xfId="0" applyFont="1" applyFill="1" applyAlignment="1" applyProtection="1">
      <alignment horizontal="right"/>
      <protection locked="0" hidden="1"/>
    </xf>
    <xf numFmtId="0" fontId="50" fillId="18" borderId="0" xfId="0" applyFont="1" applyFill="1" applyAlignment="1" applyProtection="1">
      <alignment horizontal="right" vertical="center"/>
      <protection locked="0" hidden="1"/>
    </xf>
    <xf numFmtId="0" fontId="0" fillId="22" borderId="0" xfId="0" applyFill="1" applyAlignment="1" applyProtection="1">
      <alignment vertical="top"/>
      <protection locked="0" hidden="1"/>
    </xf>
    <xf numFmtId="0" fontId="34" fillId="18" borderId="0" xfId="0" applyFont="1" applyFill="1" applyAlignment="1" applyProtection="1">
      <alignment horizontal="center" vertical="top"/>
      <protection locked="0" hidden="1"/>
    </xf>
    <xf numFmtId="0" fontId="48" fillId="18" borderId="0" xfId="0" applyFont="1" applyFill="1" applyAlignment="1" applyProtection="1">
      <alignment horizontal="right" vertical="top"/>
      <protection locked="0" hidden="1"/>
    </xf>
    <xf numFmtId="0" fontId="51" fillId="22" borderId="0" xfId="0" applyFont="1" applyFill="1" applyAlignment="1" applyProtection="1">
      <alignment horizontal="center" vertical="center"/>
      <protection locked="0" hidden="1"/>
    </xf>
    <xf numFmtId="0" fontId="0" fillId="18" borderId="0" xfId="0" applyFill="1" applyAlignment="1" applyProtection="1">
      <alignment horizontal="center" vertical="center"/>
      <protection locked="0" hidden="1"/>
    </xf>
    <xf numFmtId="0" fontId="34" fillId="22" borderId="35" xfId="0" applyFont="1" applyFill="1" applyBorder="1" applyAlignment="1" applyProtection="1">
      <alignment vertical="center"/>
      <protection locked="0" hidden="1"/>
    </xf>
    <xf numFmtId="0" fontId="34" fillId="22" borderId="23" xfId="0" applyFont="1" applyFill="1" applyBorder="1" applyAlignment="1" applyProtection="1">
      <alignment vertical="center"/>
      <protection locked="0" hidden="1"/>
    </xf>
    <xf numFmtId="0" fontId="34" fillId="22" borderId="0" xfId="0" applyFont="1" applyFill="1" applyBorder="1" applyAlignment="1" applyProtection="1">
      <alignment horizontal="center" vertical="center"/>
      <protection locked="0" hidden="1"/>
    </xf>
    <xf numFmtId="0" fontId="49" fillId="22" borderId="0" xfId="0" applyFont="1" applyFill="1" applyAlignment="1" applyProtection="1">
      <alignment vertical="center"/>
      <protection locked="0" hidden="1"/>
    </xf>
    <xf numFmtId="0" fontId="50" fillId="22" borderId="0" xfId="0" applyFont="1" applyFill="1" applyAlignment="1" applyProtection="1">
      <alignment vertical="center"/>
      <protection locked="0" hidden="1"/>
    </xf>
    <xf numFmtId="0" fontId="49" fillId="18" borderId="0" xfId="0" applyFont="1" applyFill="1" applyAlignment="1" applyProtection="1">
      <alignment vertical="center"/>
      <protection locked="0" hidden="1"/>
    </xf>
    <xf numFmtId="0" fontId="50" fillId="18" borderId="0" xfId="0" applyFont="1" applyFill="1" applyAlignment="1" applyProtection="1">
      <alignment vertical="center"/>
      <protection locked="0" hidden="1"/>
    </xf>
    <xf numFmtId="0" fontId="52" fillId="18" borderId="0" xfId="0" applyFont="1" applyFill="1" applyAlignment="1" applyProtection="1">
      <protection locked="0" hidden="1"/>
    </xf>
    <xf numFmtId="0" fontId="50" fillId="18" borderId="0" xfId="0" applyFont="1" applyFill="1" applyAlignment="1" applyProtection="1">
      <alignment wrapText="1"/>
      <protection locked="0" hidden="1"/>
    </xf>
    <xf numFmtId="0" fontId="50" fillId="18" borderId="0" xfId="0" applyFont="1" applyFill="1" applyAlignment="1" applyProtection="1">
      <alignment horizontal="justify" wrapText="1"/>
      <protection locked="0" hidden="1"/>
    </xf>
    <xf numFmtId="0" fontId="32" fillId="18" borderId="0" xfId="0" applyFont="1" applyFill="1" applyAlignment="1" applyProtection="1">
      <alignment horizontal="left" vertical="top"/>
      <protection locked="0" hidden="1"/>
    </xf>
    <xf numFmtId="0" fontId="49" fillId="18" borderId="0" xfId="0" applyFont="1" applyFill="1" applyAlignment="1" applyProtection="1">
      <protection locked="0" hidden="1"/>
    </xf>
    <xf numFmtId="0" fontId="0" fillId="18" borderId="0" xfId="0" applyFill="1" applyAlignment="1" applyProtection="1">
      <protection locked="0" hidden="1"/>
    </xf>
    <xf numFmtId="0" fontId="0" fillId="22" borderId="0" xfId="0" applyFill="1" applyAlignment="1" applyProtection="1">
      <protection locked="0" hidden="1"/>
    </xf>
    <xf numFmtId="0" fontId="49" fillId="18" borderId="0" xfId="0" applyFont="1" applyFill="1" applyAlignment="1" applyProtection="1">
      <alignment horizontal="left" vertical="top"/>
      <protection locked="0" hidden="1"/>
    </xf>
    <xf numFmtId="0" fontId="49" fillId="18" borderId="0" xfId="0" applyFont="1" applyFill="1" applyAlignment="1" applyProtection="1">
      <alignment horizontal="left"/>
      <protection locked="0" hidden="1"/>
    </xf>
    <xf numFmtId="14" fontId="50" fillId="18" borderId="0" xfId="0" applyNumberFormat="1" applyFont="1" applyFill="1" applyAlignment="1" applyProtection="1">
      <alignment horizontal="left"/>
      <protection locked="0" hidden="1"/>
    </xf>
    <xf numFmtId="0" fontId="49" fillId="18" borderId="0" xfId="0" applyFont="1" applyFill="1" applyAlignment="1" applyProtection="1">
      <alignment vertical="top"/>
      <protection locked="0" hidden="1"/>
    </xf>
    <xf numFmtId="14" fontId="50" fillId="18" borderId="0" xfId="0" applyNumberFormat="1" applyFont="1" applyFill="1" applyAlignment="1" applyProtection="1">
      <alignment horizontal="left" vertical="top"/>
      <protection locked="0" hidden="1"/>
    </xf>
    <xf numFmtId="0" fontId="32" fillId="18" borderId="0" xfId="0" applyFont="1" applyFill="1" applyAlignment="1" applyProtection="1">
      <alignment vertical="top"/>
      <protection locked="0" hidden="1"/>
    </xf>
    <xf numFmtId="0" fontId="50" fillId="18" borderId="0" xfId="0" applyFont="1" applyFill="1" applyAlignment="1" applyProtection="1">
      <alignment vertical="top"/>
      <protection locked="0" hidden="1"/>
    </xf>
    <xf numFmtId="0" fontId="1" fillId="18" borderId="0" xfId="0" applyFont="1" applyFill="1" applyAlignment="1" applyProtection="1">
      <alignment vertical="top"/>
      <protection locked="0" hidden="1"/>
    </xf>
    <xf numFmtId="0" fontId="50" fillId="18" borderId="0" xfId="0" applyFont="1" applyFill="1" applyAlignment="1" applyProtection="1">
      <alignment horizontal="left" vertical="top"/>
      <protection locked="0" hidden="1"/>
    </xf>
    <xf numFmtId="0" fontId="50" fillId="18" borderId="0" xfId="0" applyFont="1" applyFill="1" applyAlignment="1" applyProtection="1">
      <alignment vertical="top" wrapText="1"/>
      <protection locked="0" hidden="1"/>
    </xf>
    <xf numFmtId="0" fontId="53" fillId="18" borderId="0" xfId="0" applyFont="1" applyFill="1" applyAlignment="1" applyProtection="1">
      <alignment vertical="top"/>
      <protection locked="0" hidden="1"/>
    </xf>
    <xf numFmtId="0" fontId="50" fillId="22" borderId="0" xfId="0" applyFont="1" applyFill="1" applyProtection="1">
      <protection locked="0" hidden="1"/>
    </xf>
    <xf numFmtId="0" fontId="49" fillId="22" borderId="0" xfId="0" applyFont="1" applyFill="1" applyBorder="1" applyAlignment="1" applyProtection="1">
      <alignment vertical="center"/>
      <protection locked="0" hidden="1"/>
    </xf>
    <xf numFmtId="0" fontId="53" fillId="22" borderId="0" xfId="0" applyFont="1" applyFill="1" applyBorder="1" applyAlignment="1" applyProtection="1">
      <alignment vertical="center"/>
      <protection locked="0" hidden="1"/>
    </xf>
    <xf numFmtId="0" fontId="50" fillId="22" borderId="0" xfId="0" applyFont="1" applyFill="1" applyBorder="1" applyProtection="1">
      <protection locked="0" hidden="1"/>
    </xf>
    <xf numFmtId="170" fontId="49" fillId="22" borderId="0" xfId="0" applyNumberFormat="1" applyFont="1" applyFill="1" applyBorder="1" applyAlignment="1" applyProtection="1">
      <alignment horizontal="center"/>
      <protection locked="0" hidden="1"/>
    </xf>
    <xf numFmtId="0" fontId="50" fillId="22" borderId="0" xfId="0" applyFont="1" applyFill="1" applyAlignment="1" applyProtection="1">
      <alignment vertical="top" wrapText="1"/>
      <protection locked="0" hidden="1"/>
    </xf>
    <xf numFmtId="0" fontId="50" fillId="18" borderId="0" xfId="0" applyFont="1" applyFill="1" applyAlignment="1" applyProtection="1">
      <protection locked="0" hidden="1"/>
    </xf>
    <xf numFmtId="0" fontId="50" fillId="22" borderId="0" xfId="0" applyFont="1" applyFill="1" applyAlignment="1" applyProtection="1">
      <alignment vertical="top"/>
      <protection locked="0" hidden="1"/>
    </xf>
    <xf numFmtId="0" fontId="50" fillId="18" borderId="0" xfId="0" applyNumberFormat="1" applyFont="1" applyFill="1" applyAlignment="1" applyProtection="1">
      <protection locked="0" hidden="1"/>
    </xf>
    <xf numFmtId="0" fontId="50" fillId="18" borderId="0" xfId="0" applyNumberFormat="1" applyFont="1" applyFill="1" applyAlignment="1" applyProtection="1">
      <alignment vertical="top"/>
      <protection locked="0" hidden="1"/>
    </xf>
    <xf numFmtId="0" fontId="1" fillId="22" borderId="0" xfId="0" applyFont="1" applyFill="1" applyAlignment="1" applyProtection="1">
      <alignment vertical="top"/>
      <protection locked="0" hidden="1"/>
    </xf>
    <xf numFmtId="0" fontId="50" fillId="22" borderId="0" xfId="0" applyFont="1" applyFill="1" applyAlignment="1" applyProtection="1">
      <alignment horizontal="right" vertical="center"/>
      <protection hidden="1"/>
    </xf>
    <xf numFmtId="0" fontId="51" fillId="22" borderId="0" xfId="0" applyFont="1" applyFill="1" applyAlignment="1" applyProtection="1">
      <alignment vertical="center"/>
      <protection hidden="1"/>
    </xf>
    <xf numFmtId="0" fontId="49" fillId="22" borderId="0" xfId="0" applyFont="1" applyFill="1" applyProtection="1">
      <protection hidden="1"/>
    </xf>
    <xf numFmtId="0" fontId="50" fillId="22" borderId="0" xfId="0" applyFont="1" applyFill="1" applyAlignment="1" applyProtection="1">
      <alignment vertical="center" wrapText="1"/>
      <protection hidden="1"/>
    </xf>
    <xf numFmtId="0" fontId="50" fillId="18" borderId="0" xfId="0" applyFont="1" applyFill="1" applyAlignment="1" applyProtection="1">
      <alignment horizontal="center" vertical="top"/>
      <protection locked="0" hidden="1"/>
    </xf>
    <xf numFmtId="0" fontId="51" fillId="22" borderId="0" xfId="0" applyFont="1" applyFill="1" applyAlignment="1" applyProtection="1">
      <alignment horizontal="center" vertical="center"/>
      <protection hidden="1"/>
    </xf>
    <xf numFmtId="0" fontId="50" fillId="22" borderId="0" xfId="0" applyFont="1" applyFill="1" applyBorder="1" applyAlignment="1" applyProtection="1">
      <alignment horizontal="center" vertical="center"/>
      <protection hidden="1"/>
    </xf>
    <xf numFmtId="0" fontId="35" fillId="18" borderId="0" xfId="0" applyFont="1" applyFill="1" applyAlignment="1" applyProtection="1">
      <alignment vertical="top"/>
      <protection hidden="1"/>
    </xf>
    <xf numFmtId="0" fontId="34" fillId="18" borderId="0" xfId="0" applyFont="1" applyFill="1" applyAlignment="1" applyProtection="1">
      <alignment vertical="top"/>
      <protection hidden="1"/>
    </xf>
    <xf numFmtId="0" fontId="50" fillId="18" borderId="0" xfId="0" applyFont="1" applyFill="1" applyAlignment="1" applyProtection="1">
      <alignment horizontal="center"/>
      <protection hidden="1"/>
    </xf>
    <xf numFmtId="0" fontId="48" fillId="18" borderId="0" xfId="0" applyFont="1" applyFill="1" applyAlignment="1" applyProtection="1">
      <alignment horizontal="right"/>
      <protection hidden="1"/>
    </xf>
    <xf numFmtId="0" fontId="50" fillId="18" borderId="0" xfId="0" applyFont="1" applyFill="1" applyAlignment="1" applyProtection="1">
      <alignment horizontal="right" vertical="center"/>
      <protection hidden="1"/>
    </xf>
    <xf numFmtId="0" fontId="34" fillId="18" borderId="0" xfId="0" applyFont="1" applyFill="1" applyAlignment="1" applyProtection="1">
      <alignment horizontal="center" vertical="top"/>
      <protection hidden="1"/>
    </xf>
    <xf numFmtId="0" fontId="48" fillId="18" borderId="0" xfId="0" applyFont="1" applyFill="1" applyAlignment="1" applyProtection="1">
      <alignment horizontal="right" vertical="top"/>
      <protection hidden="1"/>
    </xf>
    <xf numFmtId="0" fontId="0" fillId="18" borderId="0" xfId="0" applyFill="1" applyAlignment="1" applyProtection="1">
      <alignment horizontal="center" vertical="center"/>
      <protection hidden="1"/>
    </xf>
    <xf numFmtId="0" fontId="34" fillId="22" borderId="35" xfId="0" applyFont="1" applyFill="1" applyBorder="1" applyAlignment="1" applyProtection="1">
      <alignment vertical="center"/>
      <protection hidden="1"/>
    </xf>
    <xf numFmtId="0" fontId="34" fillId="22" borderId="23" xfId="0" applyFont="1" applyFill="1" applyBorder="1" applyAlignment="1" applyProtection="1">
      <alignment vertical="center"/>
      <protection hidden="1"/>
    </xf>
    <xf numFmtId="0" fontId="34" fillId="22" borderId="0" xfId="0" applyFont="1" applyFill="1" applyBorder="1" applyAlignment="1" applyProtection="1">
      <alignment horizontal="center" vertical="center"/>
      <protection hidden="1"/>
    </xf>
    <xf numFmtId="0" fontId="49" fillId="22" borderId="0" xfId="0" applyFont="1" applyFill="1" applyAlignment="1" applyProtection="1">
      <alignment vertical="center"/>
      <protection hidden="1"/>
    </xf>
    <xf numFmtId="0" fontId="50" fillId="22" borderId="0" xfId="0" applyFont="1" applyFill="1" applyBorder="1" applyProtection="1">
      <protection hidden="1"/>
    </xf>
    <xf numFmtId="0" fontId="50" fillId="22" borderId="41" xfId="0" applyFont="1" applyFill="1" applyBorder="1" applyProtection="1">
      <protection hidden="1"/>
    </xf>
    <xf numFmtId="0" fontId="50" fillId="22" borderId="42" xfId="0" applyFont="1" applyFill="1" applyBorder="1" applyProtection="1">
      <protection hidden="1"/>
    </xf>
    <xf numFmtId="0" fontId="50" fillId="22" borderId="40" xfId="0" applyFont="1" applyFill="1" applyBorder="1" applyProtection="1">
      <protection hidden="1"/>
    </xf>
    <xf numFmtId="0" fontId="50" fillId="22" borderId="43" xfId="0" applyFont="1" applyFill="1" applyBorder="1" applyProtection="1">
      <protection hidden="1"/>
    </xf>
    <xf numFmtId="0" fontId="50" fillId="22" borderId="23" xfId="0" applyFont="1" applyFill="1" applyBorder="1" applyProtection="1">
      <protection hidden="1"/>
    </xf>
    <xf numFmtId="0" fontId="50" fillId="22" borderId="35" xfId="0" applyFont="1" applyFill="1" applyBorder="1" applyProtection="1">
      <protection hidden="1"/>
    </xf>
    <xf numFmtId="0" fontId="50" fillId="22" borderId="44" xfId="0" applyFont="1" applyFill="1" applyBorder="1" applyProtection="1">
      <protection hidden="1"/>
    </xf>
    <xf numFmtId="0" fontId="50" fillId="22" borderId="45" xfId="0" applyFont="1" applyFill="1" applyBorder="1" applyProtection="1">
      <protection hidden="1"/>
    </xf>
    <xf numFmtId="0" fontId="50" fillId="18" borderId="23" xfId="0" applyFont="1" applyFill="1" applyBorder="1" applyAlignment="1" applyProtection="1">
      <alignment horizontal="left" vertical="top"/>
      <protection locked="0" hidden="1"/>
    </xf>
    <xf numFmtId="0" fontId="50" fillId="18" borderId="0" xfId="0" applyFont="1" applyFill="1" applyBorder="1" applyAlignment="1" applyProtection="1">
      <alignment horizontal="left" vertical="top"/>
      <protection locked="0" hidden="1"/>
    </xf>
    <xf numFmtId="0" fontId="67" fillId="22" borderId="0" xfId="0" applyFont="1" applyFill="1" applyAlignment="1" applyProtection="1">
      <alignment vertical="top"/>
      <protection locked="0" hidden="1"/>
    </xf>
    <xf numFmtId="0" fontId="67" fillId="22" borderId="0" xfId="0" applyFont="1" applyFill="1" applyAlignment="1" applyProtection="1">
      <protection locked="0" hidden="1"/>
    </xf>
    <xf numFmtId="0" fontId="85" fillId="22" borderId="0" xfId="0" applyFont="1" applyFill="1" applyProtection="1">
      <protection hidden="1"/>
    </xf>
    <xf numFmtId="0" fontId="85" fillId="22" borderId="0" xfId="0" applyFont="1" applyFill="1" applyAlignment="1" applyProtection="1">
      <alignment vertical="center" wrapText="1"/>
      <protection hidden="1"/>
    </xf>
    <xf numFmtId="0" fontId="0" fillId="27" borderId="0" xfId="0" applyFill="1" applyProtection="1">
      <protection hidden="1"/>
    </xf>
    <xf numFmtId="0" fontId="1" fillId="22" borderId="0" xfId="0" applyFont="1" applyFill="1" applyProtection="1">
      <protection locked="0"/>
    </xf>
    <xf numFmtId="166" fontId="70" fillId="22" borderId="21" xfId="0" applyNumberFormat="1" applyFont="1" applyFill="1" applyBorder="1" applyAlignment="1" applyProtection="1">
      <alignment horizontal="center" vertical="center"/>
      <protection locked="0"/>
    </xf>
    <xf numFmtId="0" fontId="33" fillId="22" borderId="0" xfId="0" applyFont="1" applyFill="1" applyBorder="1" applyAlignment="1" applyProtection="1">
      <alignment horizontal="center" vertical="center"/>
      <protection locked="0"/>
    </xf>
    <xf numFmtId="164" fontId="66" fillId="22" borderId="0" xfId="0" applyNumberFormat="1" applyFont="1" applyFill="1" applyBorder="1" applyAlignment="1" applyProtection="1">
      <alignment horizontal="center" vertical="center" wrapText="1"/>
      <protection locked="0"/>
    </xf>
    <xf numFmtId="0" fontId="33" fillId="22" borderId="0" xfId="28" applyFont="1" applyFill="1" applyBorder="1" applyAlignment="1" applyProtection="1">
      <alignment horizontal="center" vertical="center"/>
      <protection locked="0"/>
    </xf>
    <xf numFmtId="0" fontId="1" fillId="22" borderId="0" xfId="0" applyFont="1" applyFill="1" applyAlignment="1" applyProtection="1">
      <alignment horizontal="center"/>
      <protection locked="0"/>
    </xf>
    <xf numFmtId="0" fontId="64" fillId="18" borderId="21" xfId="0" applyFont="1" applyFill="1" applyBorder="1" applyAlignment="1" applyProtection="1">
      <protection locked="0"/>
    </xf>
    <xf numFmtId="0" fontId="64" fillId="18" borderId="0" xfId="0" applyFont="1" applyFill="1" applyBorder="1" applyAlignment="1" applyProtection="1">
      <protection locked="0"/>
    </xf>
    <xf numFmtId="0" fontId="63" fillId="18" borderId="0" xfId="0" applyFont="1" applyFill="1" applyProtection="1">
      <protection hidden="1"/>
    </xf>
    <xf numFmtId="0" fontId="86" fillId="0" borderId="0" xfId="43" applyFont="1" applyAlignment="1" applyProtection="1">
      <alignment vertical="center"/>
      <protection hidden="1"/>
    </xf>
    <xf numFmtId="0" fontId="54" fillId="22" borderId="0" xfId="0" applyFont="1" applyFill="1" applyProtection="1">
      <protection hidden="1"/>
    </xf>
    <xf numFmtId="0" fontId="87" fillId="22" borderId="0" xfId="0" applyFont="1" applyFill="1" applyAlignment="1" applyProtection="1">
      <alignment vertical="top"/>
      <protection hidden="1"/>
    </xf>
    <xf numFmtId="0" fontId="55" fillId="22" borderId="0" xfId="0" applyFont="1" applyFill="1" applyProtection="1">
      <protection hidden="1"/>
    </xf>
    <xf numFmtId="0" fontId="55" fillId="22" borderId="0" xfId="44" applyFont="1" applyFill="1" applyProtection="1">
      <protection hidden="1"/>
    </xf>
    <xf numFmtId="0" fontId="1" fillId="18" borderId="0" xfId="0" applyFont="1" applyFill="1" applyAlignment="1" applyProtection="1">
      <alignment horizontal="right"/>
      <protection hidden="1"/>
    </xf>
    <xf numFmtId="0" fontId="88" fillId="22" borderId="0" xfId="0" applyNumberFormat="1" applyFont="1" applyFill="1" applyAlignment="1" applyProtection="1">
      <alignment horizontal="justify" vertical="top" wrapText="1"/>
      <protection hidden="1"/>
    </xf>
    <xf numFmtId="0" fontId="54" fillId="22" borderId="0" xfId="0" applyFont="1" applyFill="1" applyAlignment="1" applyProtection="1">
      <alignment vertical="top"/>
      <protection hidden="1"/>
    </xf>
    <xf numFmtId="0" fontId="88" fillId="22" borderId="0" xfId="0" applyFont="1" applyFill="1" applyAlignment="1" applyProtection="1">
      <alignment vertical="top"/>
      <protection hidden="1"/>
    </xf>
    <xf numFmtId="0" fontId="87" fillId="22" borderId="0" xfId="0" applyFont="1" applyFill="1" applyAlignment="1" applyProtection="1">
      <alignment horizontal="justify" vertical="top"/>
      <protection hidden="1"/>
    </xf>
    <xf numFmtId="0" fontId="88" fillId="22" borderId="0" xfId="0" applyFont="1" applyFill="1" applyAlignment="1" applyProtection="1">
      <alignment horizontal="justify" vertical="top" wrapText="1"/>
      <protection hidden="1"/>
    </xf>
    <xf numFmtId="0" fontId="93" fillId="22" borderId="0" xfId="0" applyFont="1" applyFill="1" applyAlignment="1" applyProtection="1">
      <alignment horizontal="justify" vertical="top"/>
      <protection hidden="1"/>
    </xf>
    <xf numFmtId="0" fontId="88" fillId="22" borderId="0" xfId="0" applyFont="1" applyFill="1" applyAlignment="1" applyProtection="1">
      <alignment horizontal="justify" vertical="top"/>
      <protection hidden="1"/>
    </xf>
    <xf numFmtId="0" fontId="87" fillId="22" borderId="0" xfId="0" applyFont="1" applyFill="1" applyAlignment="1" applyProtection="1">
      <alignment horizontal="left" vertical="top"/>
      <protection hidden="1"/>
    </xf>
    <xf numFmtId="0" fontId="54" fillId="22" borderId="0" xfId="0" applyFont="1" applyFill="1" applyAlignment="1" applyProtection="1">
      <alignment vertical="center"/>
      <protection hidden="1"/>
    </xf>
    <xf numFmtId="0" fontId="95" fillId="22" borderId="0" xfId="45" applyFill="1" applyAlignment="1" applyProtection="1">
      <alignment vertical="center"/>
      <protection hidden="1"/>
    </xf>
    <xf numFmtId="0" fontId="1" fillId="22" borderId="0" xfId="0" applyFont="1" applyFill="1" applyAlignment="1" applyProtection="1">
      <alignment horizontal="center" vertical="center" wrapText="1"/>
      <protection hidden="1"/>
    </xf>
    <xf numFmtId="0" fontId="1" fillId="19" borderId="38" xfId="28" applyFont="1" applyFill="1" applyBorder="1" applyAlignment="1" applyProtection="1">
      <alignment horizontal="center" vertical="center" wrapText="1"/>
      <protection locked="0"/>
    </xf>
    <xf numFmtId="0" fontId="0" fillId="18" borderId="0" xfId="0" applyFill="1" applyAlignment="1" applyProtection="1">
      <alignment vertical="center"/>
      <protection hidden="1"/>
    </xf>
    <xf numFmtId="0" fontId="1" fillId="18" borderId="0" xfId="0" applyFont="1" applyFill="1" applyAlignment="1" applyProtection="1">
      <alignment vertical="center"/>
      <protection hidden="1"/>
    </xf>
    <xf numFmtId="0" fontId="83" fillId="18" borderId="0" xfId="0" applyFont="1" applyFill="1" applyAlignment="1" applyProtection="1">
      <protection locked="0" hidden="1"/>
    </xf>
    <xf numFmtId="49" fontId="95" fillId="20" borderId="10" xfId="45" applyNumberFormat="1" applyFill="1" applyBorder="1" applyAlignment="1" applyProtection="1">
      <alignment horizontal="left"/>
      <protection locked="0"/>
    </xf>
    <xf numFmtId="0" fontId="49" fillId="18" borderId="0" xfId="0" applyFont="1" applyFill="1" applyAlignment="1" applyProtection="1">
      <alignment horizontal="left" vertical="top"/>
      <protection locked="0" hidden="1"/>
    </xf>
    <xf numFmtId="14" fontId="50" fillId="18" borderId="0" xfId="0" applyNumberFormat="1" applyFont="1" applyFill="1" applyAlignment="1" applyProtection="1">
      <alignment horizontal="left" vertical="top"/>
      <protection locked="0" hidden="1"/>
    </xf>
    <xf numFmtId="0" fontId="67" fillId="22" borderId="0" xfId="0" applyFont="1" applyFill="1" applyAlignment="1" applyProtection="1">
      <alignment horizontal="right" vertical="top"/>
      <protection hidden="1"/>
    </xf>
    <xf numFmtId="0" fontId="67" fillId="22" borderId="0" xfId="0" applyFont="1" applyFill="1" applyAlignment="1" applyProtection="1">
      <alignment horizontal="right"/>
      <protection hidden="1"/>
    </xf>
    <xf numFmtId="0" fontId="1" fillId="20" borderId="18" xfId="28" applyFont="1" applyFill="1" applyBorder="1" applyAlignment="1" applyProtection="1">
      <alignment horizontal="right" vertical="center"/>
      <protection hidden="1"/>
    </xf>
    <xf numFmtId="167" fontId="50" fillId="22" borderId="0" xfId="0" applyNumberFormat="1" applyFont="1" applyFill="1" applyAlignment="1" applyProtection="1">
      <alignment horizontal="right" vertical="center"/>
      <protection hidden="1"/>
    </xf>
    <xf numFmtId="0" fontId="50" fillId="22" borderId="0" xfId="0" applyFont="1" applyFill="1" applyAlignment="1" applyProtection="1">
      <alignment horizontal="right"/>
      <protection hidden="1"/>
    </xf>
    <xf numFmtId="0" fontId="3" fillId="22" borderId="0" xfId="0" applyFont="1" applyFill="1" applyProtection="1">
      <protection hidden="1"/>
    </xf>
    <xf numFmtId="0" fontId="30" fillId="22" borderId="0" xfId="0" applyFont="1" applyFill="1" applyProtection="1">
      <protection hidden="1"/>
    </xf>
    <xf numFmtId="0" fontId="3" fillId="22" borderId="0" xfId="0" applyFont="1" applyFill="1" applyAlignment="1" applyProtection="1">
      <alignment horizontal="left"/>
      <protection hidden="1"/>
    </xf>
    <xf numFmtId="0" fontId="3" fillId="22" borderId="0" xfId="0" applyFont="1" applyFill="1" applyAlignment="1" applyProtection="1">
      <alignment horizontal="right"/>
      <protection hidden="1"/>
    </xf>
    <xf numFmtId="168" fontId="50" fillId="22" borderId="0" xfId="0" applyNumberFormat="1" applyFont="1" applyFill="1" applyAlignment="1" applyProtection="1">
      <alignment vertical="center"/>
      <protection hidden="1"/>
    </xf>
    <xf numFmtId="167" fontId="50" fillId="22" borderId="0" xfId="0" applyNumberFormat="1" applyFont="1" applyFill="1" applyAlignment="1" applyProtection="1">
      <alignment vertical="center"/>
      <protection hidden="1"/>
    </xf>
    <xf numFmtId="167" fontId="3" fillId="22" borderId="0" xfId="0" applyNumberFormat="1" applyFont="1" applyFill="1" applyProtection="1">
      <protection hidden="1"/>
    </xf>
    <xf numFmtId="0" fontId="82" fillId="22" borderId="0" xfId="0" applyNumberFormat="1" applyFont="1" applyFill="1" applyProtection="1">
      <protection hidden="1"/>
    </xf>
    <xf numFmtId="168" fontId="50" fillId="22" borderId="0" xfId="0" applyNumberFormat="1" applyFont="1" applyFill="1" applyProtection="1">
      <protection hidden="1"/>
    </xf>
    <xf numFmtId="167" fontId="50" fillId="22" borderId="0" xfId="0" applyNumberFormat="1" applyFont="1" applyFill="1" applyProtection="1">
      <protection hidden="1"/>
    </xf>
    <xf numFmtId="0" fontId="41" fillId="22" borderId="0" xfId="0" applyFont="1" applyFill="1" applyProtection="1">
      <protection hidden="1"/>
    </xf>
    <xf numFmtId="167" fontId="41" fillId="22" borderId="0" xfId="0" applyNumberFormat="1" applyFont="1" applyFill="1" applyProtection="1">
      <protection hidden="1"/>
    </xf>
    <xf numFmtId="9" fontId="98" fillId="22" borderId="0" xfId="0" applyNumberFormat="1" applyFont="1" applyFill="1"/>
    <xf numFmtId="0" fontId="0" fillId="22" borderId="0" xfId="0" applyFill="1" applyAlignment="1">
      <alignment wrapText="1"/>
    </xf>
    <xf numFmtId="9" fontId="98" fillId="28" borderId="0" xfId="0" applyNumberFormat="1" applyFont="1" applyFill="1" applyAlignment="1">
      <alignment horizontal="center" vertical="center"/>
    </xf>
    <xf numFmtId="0" fontId="0" fillId="22" borderId="0" xfId="0" applyFill="1" applyAlignment="1">
      <alignment horizontal="center"/>
    </xf>
    <xf numFmtId="0" fontId="50" fillId="22" borderId="29" xfId="0" applyFont="1" applyFill="1" applyBorder="1" applyAlignment="1" applyProtection="1">
      <alignment horizontal="center" vertical="center"/>
      <protection locked="0" hidden="1"/>
    </xf>
    <xf numFmtId="173" fontId="50" fillId="22" borderId="0" xfId="0" applyNumberFormat="1" applyFont="1" applyFill="1" applyAlignment="1" applyProtection="1">
      <alignment vertical="center"/>
      <protection hidden="1"/>
    </xf>
    <xf numFmtId="0" fontId="49" fillId="22" borderId="0" xfId="0" applyFont="1" applyFill="1" applyAlignment="1" applyProtection="1">
      <alignment vertical="top"/>
      <protection hidden="1"/>
    </xf>
    <xf numFmtId="2" fontId="8" fillId="19" borderId="12" xfId="0" applyNumberFormat="1" applyFont="1" applyFill="1" applyBorder="1" applyAlignment="1">
      <alignment horizontal="center" wrapText="1"/>
    </xf>
    <xf numFmtId="2" fontId="8" fillId="19" borderId="13" xfId="0" applyNumberFormat="1" applyFont="1" applyFill="1" applyBorder="1" applyAlignment="1">
      <alignment horizontal="center" wrapText="1"/>
    </xf>
    <xf numFmtId="167" fontId="7" fillId="22" borderId="0" xfId="0" applyNumberFormat="1" applyFont="1" applyFill="1" applyAlignment="1" applyProtection="1">
      <alignment horizontal="center"/>
      <protection hidden="1"/>
    </xf>
    <xf numFmtId="10" fontId="0" fillId="25" borderId="33" xfId="0" applyNumberFormat="1" applyFill="1" applyBorder="1" applyAlignment="1" applyProtection="1">
      <alignment horizontal="center" vertical="center"/>
      <protection locked="0"/>
    </xf>
    <xf numFmtId="0" fontId="1" fillId="20" borderId="19" xfId="28" applyFont="1" applyFill="1" applyBorder="1" applyAlignment="1" applyProtection="1">
      <alignment horizontal="left" vertical="center"/>
      <protection locked="0"/>
    </xf>
    <xf numFmtId="9" fontId="0" fillId="25" borderId="32" xfId="0" applyNumberFormat="1" applyFill="1" applyBorder="1" applyAlignment="1" applyProtection="1">
      <alignment horizontal="center" vertical="center"/>
      <protection locked="0"/>
    </xf>
    <xf numFmtId="9" fontId="0" fillId="25" borderId="33" xfId="0" applyNumberFormat="1" applyFill="1" applyBorder="1" applyAlignment="1" applyProtection="1">
      <alignment horizontal="center" vertical="center"/>
      <protection locked="0"/>
    </xf>
    <xf numFmtId="174" fontId="0" fillId="25" borderId="33" xfId="0" applyNumberFormat="1" applyFill="1" applyBorder="1" applyAlignment="1" applyProtection="1">
      <alignment horizontal="center" vertical="center"/>
      <protection locked="0"/>
    </xf>
    <xf numFmtId="0" fontId="83" fillId="18" borderId="0" xfId="0" applyFont="1" applyFill="1" applyAlignment="1" applyProtection="1">
      <alignment horizontal="center"/>
      <protection hidden="1"/>
    </xf>
    <xf numFmtId="0" fontId="102" fillId="22" borderId="0" xfId="0" applyFont="1" applyFill="1" applyAlignment="1" applyProtection="1">
      <alignment vertical="center"/>
      <protection hidden="1"/>
    </xf>
    <xf numFmtId="14" fontId="1" fillId="25" borderId="46" xfId="0" applyNumberFormat="1" applyFont="1" applyFill="1" applyBorder="1" applyAlignment="1" applyProtection="1">
      <alignment horizontal="center" vertical="center"/>
      <protection locked="0"/>
    </xf>
    <xf numFmtId="0" fontId="95" fillId="0" borderId="0" xfId="45" applyAlignment="1" applyProtection="1">
      <alignment vertical="center"/>
      <protection hidden="1"/>
    </xf>
    <xf numFmtId="0" fontId="103" fillId="18" borderId="0" xfId="0" applyFont="1" applyFill="1" applyProtection="1">
      <protection hidden="1"/>
    </xf>
    <xf numFmtId="0" fontId="49" fillId="22" borderId="0" xfId="0" applyFont="1" applyFill="1"/>
    <xf numFmtId="0" fontId="41" fillId="22" borderId="0" xfId="0" applyFont="1" applyFill="1" applyAlignment="1" applyProtection="1">
      <alignment vertical="top"/>
      <protection locked="0" hidden="1"/>
    </xf>
    <xf numFmtId="0" fontId="67" fillId="22" borderId="0" xfId="0" applyNumberFormat="1" applyFont="1" applyFill="1" applyAlignment="1" applyProtection="1">
      <alignment vertical="top"/>
      <protection locked="0" hidden="1"/>
    </xf>
    <xf numFmtId="0" fontId="67" fillId="22" borderId="0" xfId="0" applyNumberFormat="1" applyFont="1" applyFill="1" applyAlignment="1" applyProtection="1">
      <alignment horizontal="right" vertical="top"/>
      <protection hidden="1"/>
    </xf>
    <xf numFmtId="0" fontId="0" fillId="22" borderId="0" xfId="0" applyNumberFormat="1" applyFill="1" applyAlignment="1" applyProtection="1">
      <alignment vertical="top"/>
      <protection locked="0" hidden="1"/>
    </xf>
    <xf numFmtId="0" fontId="0" fillId="18" borderId="0" xfId="0" applyNumberFormat="1" applyFill="1" applyAlignment="1" applyProtection="1">
      <alignment vertical="top"/>
      <protection locked="0" hidden="1"/>
    </xf>
    <xf numFmtId="0" fontId="50" fillId="22" borderId="0" xfId="0" applyNumberFormat="1" applyFont="1" applyFill="1" applyProtection="1">
      <protection locked="0" hidden="1"/>
    </xf>
    <xf numFmtId="0" fontId="1" fillId="25" borderId="33" xfId="0" applyFont="1" applyFill="1" applyBorder="1" applyAlignment="1" applyProtection="1">
      <alignment horizontal="center" vertical="center"/>
      <protection locked="0"/>
    </xf>
    <xf numFmtId="0" fontId="49" fillId="22" borderId="0" xfId="0" applyFont="1" applyFill="1" applyBorder="1" applyAlignment="1" applyProtection="1">
      <alignment horizontal="left" vertical="center"/>
      <protection hidden="1"/>
    </xf>
    <xf numFmtId="0" fontId="50" fillId="22" borderId="49" xfId="0" applyFont="1" applyFill="1" applyBorder="1" applyAlignment="1" applyProtection="1">
      <alignment vertical="center"/>
      <protection hidden="1"/>
    </xf>
    <xf numFmtId="0" fontId="50" fillId="22" borderId="23" xfId="0" applyFont="1" applyFill="1" applyBorder="1" applyAlignment="1" applyProtection="1">
      <alignment vertical="center"/>
      <protection hidden="1"/>
    </xf>
    <xf numFmtId="0" fontId="50" fillId="22" borderId="0" xfId="0" applyFont="1" applyFill="1" applyBorder="1" applyAlignment="1" applyProtection="1">
      <alignment vertical="center"/>
      <protection hidden="1"/>
    </xf>
    <xf numFmtId="0" fontId="50" fillId="22" borderId="35" xfId="0" applyFont="1" applyFill="1" applyBorder="1" applyAlignment="1" applyProtection="1">
      <alignment vertical="center"/>
      <protection hidden="1"/>
    </xf>
    <xf numFmtId="0" fontId="49" fillId="22" borderId="23" xfId="0" applyFont="1" applyFill="1" applyBorder="1" applyAlignment="1" applyProtection="1">
      <alignment vertical="top"/>
      <protection hidden="1"/>
    </xf>
    <xf numFmtId="0" fontId="49" fillId="22" borderId="44" xfId="0" applyFont="1" applyFill="1" applyBorder="1" applyAlignment="1" applyProtection="1">
      <alignment vertical="center"/>
      <protection hidden="1"/>
    </xf>
    <xf numFmtId="0" fontId="50" fillId="22" borderId="41" xfId="0" applyFont="1" applyFill="1" applyBorder="1" applyAlignment="1" applyProtection="1">
      <alignment vertical="center"/>
      <protection hidden="1"/>
    </xf>
    <xf numFmtId="0" fontId="50" fillId="22" borderId="50" xfId="0" applyFont="1" applyFill="1" applyBorder="1" applyAlignment="1" applyProtection="1">
      <alignment vertical="center"/>
      <protection hidden="1"/>
    </xf>
    <xf numFmtId="0" fontId="50" fillId="22" borderId="45" xfId="0" applyFont="1" applyFill="1" applyBorder="1" applyAlignment="1" applyProtection="1">
      <alignment vertical="center"/>
      <protection hidden="1"/>
    </xf>
    <xf numFmtId="0" fontId="49" fillId="22" borderId="51" xfId="0" applyFont="1" applyFill="1" applyBorder="1" applyAlignment="1" applyProtection="1">
      <alignment vertical="center"/>
      <protection hidden="1"/>
    </xf>
    <xf numFmtId="0" fontId="50" fillId="22" borderId="52" xfId="0" applyFont="1" applyFill="1" applyBorder="1" applyAlignment="1" applyProtection="1">
      <alignment vertical="center"/>
      <protection hidden="1"/>
    </xf>
    <xf numFmtId="0" fontId="50" fillId="22" borderId="52" xfId="0" applyFont="1" applyFill="1" applyBorder="1" applyAlignment="1" applyProtection="1">
      <alignment vertical="center"/>
      <protection locked="0"/>
    </xf>
    <xf numFmtId="0" fontId="50" fillId="22" borderId="53" xfId="0" applyFont="1" applyFill="1" applyBorder="1" applyAlignment="1" applyProtection="1">
      <alignment vertical="center"/>
      <protection locked="0"/>
    </xf>
    <xf numFmtId="0" fontId="50" fillId="22" borderId="48" xfId="0" applyFont="1" applyFill="1" applyBorder="1" applyAlignment="1" applyProtection="1">
      <alignment vertical="center"/>
      <protection hidden="1"/>
    </xf>
    <xf numFmtId="0" fontId="50" fillId="22" borderId="41" xfId="0" applyFont="1" applyFill="1" applyBorder="1" applyAlignment="1" applyProtection="1">
      <alignment vertical="center"/>
      <protection locked="0"/>
    </xf>
    <xf numFmtId="0" fontId="50" fillId="22" borderId="45" xfId="0" applyFont="1" applyFill="1" applyBorder="1" applyAlignment="1" applyProtection="1">
      <alignment vertical="center"/>
      <protection locked="0"/>
    </xf>
    <xf numFmtId="167" fontId="50" fillId="22" borderId="41" xfId="0" applyNumberFormat="1" applyFont="1" applyFill="1" applyBorder="1" applyAlignment="1" applyProtection="1">
      <alignment vertical="center"/>
      <protection hidden="1"/>
    </xf>
    <xf numFmtId="167" fontId="50" fillId="22" borderId="45" xfId="0" applyNumberFormat="1" applyFont="1" applyFill="1" applyBorder="1" applyAlignment="1" applyProtection="1">
      <alignment vertical="center"/>
      <protection hidden="1"/>
    </xf>
    <xf numFmtId="0" fontId="50" fillId="22" borderId="48" xfId="0" applyFont="1" applyFill="1" applyBorder="1" applyProtection="1">
      <protection hidden="1"/>
    </xf>
    <xf numFmtId="0" fontId="50" fillId="22" borderId="49" xfId="0" applyFont="1" applyFill="1" applyBorder="1" applyProtection="1">
      <protection hidden="1"/>
    </xf>
    <xf numFmtId="0" fontId="50" fillId="22" borderId="50" xfId="0" applyFont="1" applyFill="1" applyBorder="1" applyProtection="1">
      <protection hidden="1"/>
    </xf>
    <xf numFmtId="0" fontId="49" fillId="22" borderId="44" xfId="0" applyFont="1" applyFill="1" applyBorder="1" applyAlignment="1" applyProtection="1">
      <alignment vertical="top"/>
      <protection hidden="1"/>
    </xf>
    <xf numFmtId="0" fontId="49" fillId="22" borderId="44" xfId="0" applyFont="1" applyFill="1" applyBorder="1" applyAlignment="1" applyProtection="1">
      <protection hidden="1"/>
    </xf>
    <xf numFmtId="0" fontId="50" fillId="22" borderId="53" xfId="0" applyFont="1" applyFill="1" applyBorder="1" applyAlignment="1" applyProtection="1">
      <alignment vertical="center"/>
      <protection hidden="1"/>
    </xf>
    <xf numFmtId="49" fontId="50" fillId="22" borderId="0" xfId="0" applyNumberFormat="1" applyFont="1" applyFill="1" applyBorder="1" applyAlignment="1" applyProtection="1">
      <alignment horizontal="left" vertical="center"/>
      <protection hidden="1"/>
    </xf>
    <xf numFmtId="49" fontId="50" fillId="22" borderId="0" xfId="0" applyNumberFormat="1" applyFont="1" applyFill="1" applyBorder="1" applyAlignment="1" applyProtection="1">
      <alignment horizontal="center" vertical="center"/>
      <protection hidden="1"/>
    </xf>
    <xf numFmtId="167" fontId="50" fillId="22" borderId="0" xfId="0" applyNumberFormat="1" applyFont="1" applyFill="1" applyBorder="1" applyAlignment="1" applyProtection="1">
      <alignment horizontal="center" vertical="center"/>
      <protection hidden="1"/>
    </xf>
    <xf numFmtId="0" fontId="7" fillId="18" borderId="16" xfId="0" applyFont="1" applyFill="1" applyBorder="1" applyAlignment="1" applyProtection="1">
      <protection locked="0"/>
    </xf>
    <xf numFmtId="0" fontId="9" fillId="19" borderId="14" xfId="0" applyFont="1" applyFill="1" applyBorder="1" applyAlignment="1">
      <alignment horizontal="center" wrapText="1"/>
    </xf>
    <xf numFmtId="2" fontId="1" fillId="0" borderId="0" xfId="0" applyNumberFormat="1" applyFont="1"/>
    <xf numFmtId="0" fontId="9" fillId="19" borderId="0" xfId="0" applyFont="1" applyFill="1" applyBorder="1" applyAlignment="1">
      <alignment horizontal="center" wrapText="1"/>
    </xf>
    <xf numFmtId="165" fontId="11" fillId="18" borderId="0" xfId="0" applyNumberFormat="1" applyFont="1" applyFill="1" applyBorder="1" applyAlignment="1">
      <alignment horizontal="center"/>
    </xf>
    <xf numFmtId="0" fontId="0" fillId="0" borderId="0" xfId="0" applyFill="1" applyBorder="1"/>
    <xf numFmtId="164" fontId="9" fillId="0" borderId="0" xfId="0" applyNumberFormat="1" applyFont="1" applyFill="1" applyBorder="1" applyAlignment="1">
      <alignment horizontal="center" wrapText="1"/>
    </xf>
    <xf numFmtId="0" fontId="9" fillId="0" borderId="0" xfId="0" applyFont="1" applyFill="1" applyBorder="1" applyAlignment="1">
      <alignment horizontal="center" wrapText="1"/>
    </xf>
    <xf numFmtId="165" fontId="11" fillId="0" borderId="0" xfId="0" applyNumberFormat="1" applyFont="1" applyFill="1" applyBorder="1" applyAlignment="1">
      <alignment horizontal="center"/>
    </xf>
    <xf numFmtId="0" fontId="9" fillId="0" borderId="0" xfId="0" applyFont="1" applyFill="1" applyBorder="1" applyAlignment="1">
      <alignment wrapText="1"/>
    </xf>
    <xf numFmtId="0" fontId="8" fillId="0" borderId="0" xfId="0" applyFont="1" applyFill="1" applyBorder="1" applyAlignment="1">
      <alignment horizontal="center" wrapText="1"/>
    </xf>
    <xf numFmtId="0" fontId="8" fillId="0" borderId="0" xfId="0" applyFont="1" applyFill="1" applyBorder="1" applyAlignment="1">
      <alignment wrapText="1"/>
    </xf>
    <xf numFmtId="164" fontId="9" fillId="27" borderId="11" xfId="0" applyNumberFormat="1" applyFont="1" applyFill="1" applyBorder="1" applyAlignment="1">
      <alignment horizontal="center" wrapText="1"/>
    </xf>
    <xf numFmtId="2" fontId="9" fillId="27" borderId="11" xfId="0" applyNumberFormat="1" applyFont="1" applyFill="1" applyBorder="1" applyAlignment="1">
      <alignment horizontal="center" wrapText="1"/>
    </xf>
    <xf numFmtId="2" fontId="9" fillId="27" borderId="21" xfId="0" applyNumberFormat="1" applyFont="1" applyFill="1" applyBorder="1" applyAlignment="1">
      <alignment horizontal="center" wrapText="1"/>
    </xf>
    <xf numFmtId="165" fontId="11" fillId="18" borderId="10" xfId="0" applyNumberFormat="1" applyFont="1" applyFill="1" applyBorder="1" applyAlignment="1">
      <alignment horizontal="center"/>
    </xf>
    <xf numFmtId="164" fontId="9" fillId="27" borderId="18" xfId="0" applyNumberFormat="1" applyFont="1" applyFill="1" applyBorder="1" applyAlignment="1">
      <alignment horizontal="center" wrapText="1"/>
    </xf>
    <xf numFmtId="165" fontId="11" fillId="18" borderId="13" xfId="0" applyNumberFormat="1" applyFont="1" applyFill="1" applyBorder="1" applyAlignment="1">
      <alignment horizontal="center"/>
    </xf>
    <xf numFmtId="2" fontId="9" fillId="27" borderId="12" xfId="0" applyNumberFormat="1" applyFont="1" applyFill="1" applyBorder="1" applyAlignment="1">
      <alignment horizontal="center" wrapText="1"/>
    </xf>
    <xf numFmtId="2" fontId="9" fillId="27" borderId="14" xfId="0" applyNumberFormat="1" applyFont="1" applyFill="1" applyBorder="1" applyAlignment="1">
      <alignment horizontal="center" wrapText="1"/>
    </xf>
    <xf numFmtId="165" fontId="11" fillId="18" borderId="26" xfId="0" applyNumberFormat="1" applyFont="1" applyFill="1" applyBorder="1" applyAlignment="1">
      <alignment horizontal="center"/>
    </xf>
    <xf numFmtId="0" fontId="7" fillId="0" borderId="0" xfId="0" applyFont="1" applyBorder="1" applyAlignment="1">
      <alignment horizontal="center"/>
    </xf>
    <xf numFmtId="0" fontId="8" fillId="19" borderId="0" xfId="0" applyFont="1" applyFill="1" applyBorder="1" applyAlignment="1">
      <alignment horizontal="center" wrapText="1"/>
    </xf>
    <xf numFmtId="0" fontId="1" fillId="0" borderId="0" xfId="0" applyFont="1" applyFill="1" applyBorder="1"/>
    <xf numFmtId="164" fontId="104" fillId="27" borderId="11" xfId="0" applyNumberFormat="1" applyFont="1" applyFill="1" applyBorder="1" applyAlignment="1">
      <alignment horizontal="center" wrapText="1"/>
    </xf>
    <xf numFmtId="165" fontId="105" fillId="18" borderId="14" xfId="0" applyNumberFormat="1" applyFont="1" applyFill="1" applyBorder="1" applyAlignment="1">
      <alignment horizontal="center"/>
    </xf>
    <xf numFmtId="165" fontId="105" fillId="18" borderId="15" xfId="0" applyNumberFormat="1" applyFont="1" applyFill="1" applyBorder="1" applyAlignment="1">
      <alignment horizontal="center"/>
    </xf>
    <xf numFmtId="0" fontId="50" fillId="22" borderId="0" xfId="0" applyFont="1" applyFill="1" applyAlignment="1" applyProtection="1">
      <alignment horizontal="left" vertical="top" wrapText="1"/>
      <protection locked="0" hidden="1"/>
    </xf>
    <xf numFmtId="0" fontId="50" fillId="22" borderId="0" xfId="0" applyFont="1" applyFill="1" applyAlignment="1" applyProtection="1">
      <alignment horizontal="justify" vertical="top" wrapText="1"/>
      <protection locked="0" hidden="1"/>
    </xf>
    <xf numFmtId="0" fontId="50" fillId="22" borderId="0" xfId="0" applyNumberFormat="1" applyFont="1" applyFill="1" applyAlignment="1" applyProtection="1">
      <alignment horizontal="left" vertical="top" wrapText="1"/>
      <protection locked="0" hidden="1"/>
    </xf>
    <xf numFmtId="0" fontId="50" fillId="22" borderId="0" xfId="0" applyNumberFormat="1" applyFont="1" applyFill="1" applyAlignment="1" applyProtection="1">
      <alignment horizontal="justify" vertical="top" wrapText="1"/>
      <protection locked="0" hidden="1"/>
    </xf>
    <xf numFmtId="49" fontId="50" fillId="22" borderId="0" xfId="0" applyNumberFormat="1" applyFont="1" applyFill="1" applyAlignment="1" applyProtection="1">
      <alignment horizontal="left" vertical="top" wrapText="1"/>
      <protection locked="0" hidden="1"/>
    </xf>
    <xf numFmtId="0" fontId="50" fillId="22" borderId="0" xfId="0" applyNumberFormat="1" applyFont="1" applyFill="1" applyAlignment="1" applyProtection="1">
      <alignment horizontal="left" vertical="top"/>
      <protection locked="0" hidden="1"/>
    </xf>
    <xf numFmtId="0" fontId="50" fillId="22" borderId="0" xfId="0" applyFont="1" applyFill="1" applyAlignment="1" applyProtection="1">
      <alignment horizontal="left" vertical="top"/>
      <protection locked="0" hidden="1"/>
    </xf>
    <xf numFmtId="0" fontId="96" fillId="22" borderId="28" xfId="0" applyFont="1" applyFill="1" applyBorder="1" applyAlignment="1" applyProtection="1">
      <alignment horizontal="center" vertical="center" wrapText="1"/>
      <protection locked="0" hidden="1"/>
    </xf>
    <xf numFmtId="0" fontId="106" fillId="22" borderId="0" xfId="0" applyFont="1" applyFill="1" applyProtection="1">
      <protection hidden="1"/>
    </xf>
    <xf numFmtId="0" fontId="107" fillId="22" borderId="0" xfId="0" applyFont="1" applyFill="1" applyProtection="1">
      <protection hidden="1"/>
    </xf>
    <xf numFmtId="0" fontId="49" fillId="22" borderId="0" xfId="0" applyFont="1" applyFill="1" applyAlignment="1" applyProtection="1">
      <alignment vertical="top"/>
      <protection locked="0" hidden="1"/>
    </xf>
    <xf numFmtId="0" fontId="53" fillId="22" borderId="0" xfId="0" applyFont="1" applyFill="1" applyAlignment="1" applyProtection="1">
      <alignment vertical="top"/>
      <protection locked="0" hidden="1"/>
    </xf>
    <xf numFmtId="0" fontId="50" fillId="22" borderId="29" xfId="0" applyFont="1" applyFill="1" applyBorder="1" applyAlignment="1" applyProtection="1">
      <alignment vertical="top"/>
      <protection locked="0" hidden="1"/>
    </xf>
    <xf numFmtId="0" fontId="49" fillId="22" borderId="0" xfId="0" applyFont="1" applyFill="1" applyAlignment="1" applyProtection="1">
      <protection locked="0" hidden="1"/>
    </xf>
    <xf numFmtId="0" fontId="53" fillId="22" borderId="0" xfId="0" applyNumberFormat="1" applyFont="1" applyFill="1" applyAlignment="1" applyProtection="1">
      <alignment horizontal="left" vertical="top"/>
      <protection locked="0" hidden="1"/>
    </xf>
    <xf numFmtId="0" fontId="53" fillId="22" borderId="0" xfId="0" applyNumberFormat="1" applyFont="1" applyFill="1" applyAlignment="1" applyProtection="1">
      <alignment horizontal="justify" vertical="top"/>
      <protection locked="0" hidden="1"/>
    </xf>
    <xf numFmtId="49" fontId="50" fillId="22" borderId="0" xfId="0" applyNumberFormat="1" applyFont="1" applyFill="1" applyAlignment="1" applyProtection="1">
      <alignment vertical="top" wrapText="1"/>
      <protection locked="0" hidden="1"/>
    </xf>
    <xf numFmtId="49" fontId="50" fillId="22" borderId="0" xfId="0" applyNumberFormat="1" applyFont="1" applyFill="1" applyAlignment="1" applyProtection="1">
      <alignment vertical="top"/>
      <protection locked="0" hidden="1"/>
    </xf>
    <xf numFmtId="0" fontId="50" fillId="22" borderId="0" xfId="0" applyNumberFormat="1" applyFont="1" applyFill="1" applyAlignment="1" applyProtection="1">
      <alignment vertical="top"/>
      <protection locked="0" hidden="1"/>
    </xf>
    <xf numFmtId="0" fontId="50" fillId="22" borderId="0" xfId="0" applyFont="1" applyFill="1" applyAlignment="1" applyProtection="1">
      <protection locked="0" hidden="1"/>
    </xf>
    <xf numFmtId="0" fontId="50" fillId="22" borderId="0" xfId="0" applyNumberFormat="1" applyFont="1" applyFill="1" applyAlignment="1" applyProtection="1">
      <protection locked="0" hidden="1"/>
    </xf>
    <xf numFmtId="0" fontId="50" fillId="22" borderId="0" xfId="0" applyFont="1" applyFill="1" applyAlignment="1" applyProtection="1">
      <alignment horizontal="center" vertical="top"/>
      <protection locked="0" hidden="1"/>
    </xf>
    <xf numFmtId="0" fontId="35" fillId="22" borderId="0" xfId="0" applyFont="1" applyFill="1" applyAlignment="1" applyProtection="1">
      <alignment vertical="top"/>
      <protection locked="0" hidden="1"/>
    </xf>
    <xf numFmtId="0" fontId="53" fillId="22" borderId="0" xfId="0" applyFont="1" applyFill="1" applyBorder="1" applyAlignment="1" applyProtection="1">
      <alignment vertical="center" wrapText="1"/>
      <protection hidden="1"/>
    </xf>
    <xf numFmtId="49" fontId="50" fillId="22" borderId="0" xfId="0" applyNumberFormat="1" applyFont="1" applyFill="1" applyBorder="1" applyAlignment="1" applyProtection="1">
      <alignment vertical="center"/>
      <protection locked="0"/>
    </xf>
    <xf numFmtId="49" fontId="50" fillId="22" borderId="19" xfId="0" applyNumberFormat="1" applyFont="1" applyFill="1" applyBorder="1" applyAlignment="1" applyProtection="1">
      <alignment horizontal="left" vertical="center"/>
      <protection locked="0"/>
    </xf>
    <xf numFmtId="49" fontId="50" fillId="22" borderId="13" xfId="0" applyNumberFormat="1" applyFont="1" applyFill="1" applyBorder="1" applyAlignment="1" applyProtection="1">
      <alignment horizontal="left" vertical="center"/>
      <protection locked="0"/>
    </xf>
    <xf numFmtId="49" fontId="53" fillId="22" borderId="18" xfId="0" applyNumberFormat="1" applyFont="1" applyFill="1" applyBorder="1" applyAlignment="1" applyProtection="1">
      <alignment horizontal="left" vertical="center"/>
      <protection locked="0"/>
    </xf>
    <xf numFmtId="169" fontId="0" fillId="22" borderId="0" xfId="0" applyNumberFormat="1" applyFill="1" applyProtection="1">
      <protection hidden="1"/>
    </xf>
    <xf numFmtId="10" fontId="0" fillId="22" borderId="22" xfId="46" applyNumberFormat="1" applyFont="1" applyFill="1" applyBorder="1" applyAlignment="1" applyProtection="1">
      <alignment horizontal="center" vertical="center"/>
      <protection hidden="1"/>
    </xf>
    <xf numFmtId="10" fontId="0" fillId="27" borderId="22" xfId="46" applyNumberFormat="1" applyFont="1" applyFill="1" applyBorder="1" applyAlignment="1" applyProtection="1">
      <alignment horizontal="center" vertical="center"/>
      <protection hidden="1"/>
    </xf>
    <xf numFmtId="10" fontId="0" fillId="22" borderId="0" xfId="46" applyNumberFormat="1" applyFont="1" applyFill="1" applyProtection="1">
      <protection hidden="1"/>
    </xf>
    <xf numFmtId="0" fontId="50" fillId="22" borderId="0" xfId="0" applyNumberFormat="1" applyFont="1" applyFill="1" applyAlignment="1" applyProtection="1">
      <alignment horizontal="justify" vertical="top" wrapText="1"/>
      <protection locked="0" hidden="1"/>
    </xf>
    <xf numFmtId="49" fontId="50" fillId="22" borderId="0" xfId="0" applyNumberFormat="1" applyFont="1" applyFill="1" applyAlignment="1" applyProtection="1">
      <alignment horizontal="left" vertical="top" wrapText="1"/>
      <protection locked="0" hidden="1"/>
    </xf>
    <xf numFmtId="0" fontId="57" fillId="23" borderId="18" xfId="0" applyFont="1" applyFill="1" applyBorder="1" applyAlignment="1" applyProtection="1">
      <alignment vertical="center" wrapText="1"/>
      <protection hidden="1"/>
    </xf>
    <xf numFmtId="0" fontId="9" fillId="19" borderId="14" xfId="0" applyFont="1" applyFill="1" applyBorder="1" applyAlignment="1">
      <alignment horizontal="center" wrapText="1"/>
    </xf>
    <xf numFmtId="164" fontId="9" fillId="22" borderId="11" xfId="0" applyNumberFormat="1" applyFont="1" applyFill="1" applyBorder="1" applyAlignment="1">
      <alignment horizontal="center" wrapText="1"/>
    </xf>
    <xf numFmtId="170" fontId="9" fillId="22" borderId="14" xfId="0" applyNumberFormat="1" applyFont="1" applyFill="1" applyBorder="1" applyAlignment="1">
      <alignment horizontal="center" wrapText="1"/>
    </xf>
    <xf numFmtId="164" fontId="9" fillId="22" borderId="0" xfId="0" applyNumberFormat="1" applyFont="1" applyFill="1" applyBorder="1" applyAlignment="1">
      <alignment horizontal="center" wrapText="1"/>
    </xf>
    <xf numFmtId="165" fontId="11" fillId="22" borderId="0" xfId="0" applyNumberFormat="1" applyFont="1" applyFill="1" applyBorder="1" applyAlignment="1">
      <alignment horizontal="center"/>
    </xf>
    <xf numFmtId="0" fontId="0" fillId="22" borderId="0" xfId="0" applyFill="1" applyBorder="1"/>
    <xf numFmtId="164" fontId="9" fillId="22" borderId="18" xfId="0" applyNumberFormat="1" applyFont="1" applyFill="1" applyBorder="1" applyAlignment="1">
      <alignment horizontal="center" wrapText="1"/>
    </xf>
    <xf numFmtId="170" fontId="9" fillId="22" borderId="12" xfId="0" applyNumberFormat="1" applyFont="1" applyFill="1" applyBorder="1" applyAlignment="1">
      <alignment horizontal="center" wrapText="1"/>
    </xf>
    <xf numFmtId="170" fontId="0" fillId="22" borderId="25" xfId="0" applyNumberFormat="1" applyFill="1" applyBorder="1"/>
    <xf numFmtId="170" fontId="0" fillId="22" borderId="26" xfId="0" applyNumberFormat="1" applyFill="1" applyBorder="1"/>
    <xf numFmtId="170" fontId="0" fillId="22" borderId="18" xfId="0" applyNumberFormat="1" applyFill="1" applyBorder="1"/>
    <xf numFmtId="170" fontId="0" fillId="22" borderId="16" xfId="0" applyNumberFormat="1" applyFill="1" applyBorder="1"/>
    <xf numFmtId="170" fontId="0" fillId="22" borderId="12" xfId="0" applyNumberFormat="1" applyFill="1" applyBorder="1"/>
    <xf numFmtId="170" fontId="0" fillId="22" borderId="14" xfId="0" applyNumberFormat="1" applyFill="1" applyBorder="1"/>
    <xf numFmtId="164" fontId="9" fillId="22" borderId="54" xfId="0" applyNumberFormat="1" applyFont="1" applyFill="1" applyBorder="1" applyAlignment="1">
      <alignment horizontal="center" wrapText="1"/>
    </xf>
    <xf numFmtId="165" fontId="0" fillId="0" borderId="54" xfId="0" applyNumberFormat="1" applyBorder="1"/>
    <xf numFmtId="164" fontId="9" fillId="19" borderId="18" xfId="0" applyNumberFormat="1" applyFont="1" applyFill="1" applyBorder="1" applyAlignment="1">
      <alignment horizontal="center" wrapText="1"/>
    </xf>
    <xf numFmtId="0" fontId="9" fillId="19" borderId="12" xfId="0" applyFont="1" applyFill="1" applyBorder="1" applyAlignment="1">
      <alignment horizontal="center" wrapText="1"/>
    </xf>
    <xf numFmtId="0" fontId="62" fillId="23" borderId="0" xfId="28" applyFont="1" applyFill="1" applyBorder="1" applyAlignment="1" applyProtection="1">
      <alignment horizontal="right" vertical="center"/>
      <protection hidden="1"/>
    </xf>
    <xf numFmtId="169" fontId="0" fillId="25" borderId="55" xfId="0" applyNumberFormat="1" applyFill="1" applyBorder="1" applyAlignment="1" applyProtection="1">
      <alignment horizontal="center" vertical="center"/>
      <protection locked="0"/>
    </xf>
    <xf numFmtId="174" fontId="63" fillId="25" borderId="34" xfId="0" applyNumberFormat="1" applyFont="1" applyFill="1" applyBorder="1" applyAlignment="1" applyProtection="1">
      <alignment horizontal="center" vertical="center"/>
      <protection locked="0"/>
    </xf>
    <xf numFmtId="0" fontId="64" fillId="18" borderId="0" xfId="0" applyFont="1" applyFill="1" applyAlignment="1" applyProtection="1">
      <alignment vertical="top"/>
      <protection locked="0" hidden="1"/>
    </xf>
    <xf numFmtId="0" fontId="50" fillId="27" borderId="0" xfId="0" applyNumberFormat="1" applyFont="1" applyFill="1" applyProtection="1">
      <protection locked="0" hidden="1"/>
    </xf>
    <xf numFmtId="0" fontId="50" fillId="27" borderId="0" xfId="0" applyNumberFormat="1" applyFont="1" applyFill="1" applyAlignment="1" applyProtection="1">
      <alignment vertical="top"/>
      <protection locked="0" hidden="1"/>
    </xf>
    <xf numFmtId="0" fontId="50" fillId="22" borderId="56" xfId="0" applyFont="1" applyFill="1" applyBorder="1" applyAlignment="1" applyProtection="1">
      <alignment vertical="center"/>
      <protection hidden="1"/>
    </xf>
    <xf numFmtId="0" fontId="50" fillId="22" borderId="57" xfId="0" applyFont="1" applyFill="1" applyBorder="1" applyAlignment="1" applyProtection="1">
      <alignment vertical="center"/>
      <protection hidden="1"/>
    </xf>
    <xf numFmtId="0" fontId="50" fillId="22" borderId="58" xfId="0" applyFont="1" applyFill="1" applyBorder="1" applyAlignment="1" applyProtection="1">
      <alignment vertical="center"/>
      <protection hidden="1"/>
    </xf>
    <xf numFmtId="0" fontId="112" fillId="18" borderId="0" xfId="28" applyFont="1" applyFill="1" applyBorder="1" applyAlignment="1" applyProtection="1">
      <alignment horizontal="right" vertical="center"/>
      <protection hidden="1"/>
    </xf>
    <xf numFmtId="169" fontId="112" fillId="25" borderId="55" xfId="0" applyNumberFormat="1" applyFont="1" applyFill="1" applyBorder="1" applyAlignment="1" applyProtection="1">
      <alignment horizontal="center" vertical="center"/>
      <protection locked="0"/>
    </xf>
    <xf numFmtId="170" fontId="112" fillId="22" borderId="22" xfId="0" applyNumberFormat="1" applyFont="1" applyFill="1" applyBorder="1" applyAlignment="1" applyProtection="1">
      <alignment horizontal="center" vertical="center"/>
      <protection hidden="1"/>
    </xf>
    <xf numFmtId="169" fontId="112" fillId="25" borderId="33" xfId="0" applyNumberFormat="1" applyFont="1" applyFill="1" applyBorder="1" applyAlignment="1" applyProtection="1">
      <alignment horizontal="center" vertical="center"/>
      <protection locked="0"/>
    </xf>
    <xf numFmtId="174" fontId="112" fillId="25" borderId="33" xfId="0" applyNumberFormat="1" applyFont="1" applyFill="1" applyBorder="1" applyAlignment="1" applyProtection="1">
      <alignment horizontal="center" vertical="center"/>
      <protection locked="0"/>
    </xf>
    <xf numFmtId="169" fontId="112" fillId="25" borderId="34" xfId="0" applyNumberFormat="1" applyFont="1" applyFill="1" applyBorder="1" applyAlignment="1" applyProtection="1">
      <alignment horizontal="center" vertical="center"/>
      <protection locked="0"/>
    </xf>
    <xf numFmtId="169" fontId="63" fillId="25" borderId="33" xfId="0" applyNumberFormat="1" applyFont="1" applyFill="1" applyBorder="1" applyAlignment="1" applyProtection="1">
      <alignment horizontal="center" vertical="center"/>
      <protection locked="0"/>
    </xf>
    <xf numFmtId="10" fontId="63" fillId="22" borderId="0" xfId="46" applyNumberFormat="1" applyFont="1" applyFill="1" applyProtection="1">
      <protection hidden="1"/>
    </xf>
    <xf numFmtId="0" fontId="63" fillId="22" borderId="0" xfId="0" applyFont="1" applyFill="1" applyProtection="1">
      <protection hidden="1"/>
    </xf>
    <xf numFmtId="0" fontId="63" fillId="22" borderId="0" xfId="0" applyFont="1" applyFill="1" applyAlignment="1" applyProtection="1">
      <alignment horizontal="right"/>
      <protection hidden="1"/>
    </xf>
    <xf numFmtId="169" fontId="63" fillId="22" borderId="0" xfId="0" applyNumberFormat="1" applyFont="1" applyFill="1" applyProtection="1">
      <protection hidden="1"/>
    </xf>
    <xf numFmtId="10" fontId="63" fillId="22" borderId="22" xfId="46" applyNumberFormat="1" applyFont="1" applyFill="1" applyBorder="1" applyAlignment="1" applyProtection="1">
      <alignment horizontal="center" vertical="center"/>
      <protection hidden="1"/>
    </xf>
    <xf numFmtId="0" fontId="50" fillId="22" borderId="53" xfId="0" applyFont="1" applyFill="1" applyBorder="1" applyAlignment="1" applyProtection="1">
      <alignment horizontal="center" vertical="center"/>
      <protection locked="0" hidden="1"/>
    </xf>
    <xf numFmtId="0" fontId="0" fillId="22" borderId="53" xfId="0" applyFill="1" applyBorder="1" applyProtection="1">
      <protection locked="0" hidden="1"/>
    </xf>
    <xf numFmtId="174" fontId="112" fillId="25" borderId="34" xfId="0" applyNumberFormat="1" applyFont="1" applyFill="1" applyBorder="1" applyAlignment="1" applyProtection="1">
      <alignment horizontal="center" vertical="center"/>
      <protection locked="0"/>
    </xf>
    <xf numFmtId="0" fontId="82" fillId="22" borderId="0" xfId="0" applyFont="1" applyFill="1" applyAlignment="1" applyProtection="1">
      <protection hidden="1"/>
    </xf>
    <xf numFmtId="0" fontId="50" fillId="22" borderId="0" xfId="0" applyFont="1" applyFill="1" applyAlignment="1" applyProtection="1">
      <protection hidden="1"/>
    </xf>
    <xf numFmtId="2" fontId="9" fillId="19" borderId="18" xfId="0" applyNumberFormat="1" applyFont="1" applyFill="1" applyBorder="1" applyAlignment="1">
      <alignment horizontal="center"/>
    </xf>
    <xf numFmtId="2" fontId="9" fillId="19" borderId="19" xfId="0" applyNumberFormat="1" applyFont="1" applyFill="1" applyBorder="1" applyAlignment="1">
      <alignment horizontal="center"/>
    </xf>
    <xf numFmtId="2" fontId="9" fillId="19" borderId="24" xfId="0" applyNumberFormat="1" applyFont="1" applyFill="1" applyBorder="1" applyAlignment="1">
      <alignment horizontal="center"/>
    </xf>
    <xf numFmtId="0" fontId="7" fillId="0" borderId="18" xfId="0" applyFont="1" applyBorder="1" applyAlignment="1">
      <alignment horizontal="center"/>
    </xf>
    <xf numFmtId="0" fontId="7" fillId="0" borderId="19" xfId="0" applyFont="1" applyBorder="1" applyAlignment="1">
      <alignment horizontal="center"/>
    </xf>
    <xf numFmtId="0" fontId="7" fillId="0" borderId="13" xfId="0" applyFont="1" applyBorder="1" applyAlignment="1">
      <alignment horizontal="center"/>
    </xf>
    <xf numFmtId="0" fontId="7" fillId="0" borderId="18" xfId="0" applyFont="1" applyBorder="1" applyAlignment="1">
      <alignment horizontal="center" wrapText="1"/>
    </xf>
    <xf numFmtId="0" fontId="7" fillId="0" borderId="13" xfId="0" applyFont="1" applyBorder="1" applyAlignment="1">
      <alignment horizontal="center" wrapText="1"/>
    </xf>
    <xf numFmtId="2" fontId="7" fillId="0" borderId="18" xfId="0" applyNumberFormat="1" applyFont="1" applyBorder="1" applyAlignment="1">
      <alignment horizontal="center"/>
    </xf>
    <xf numFmtId="2" fontId="7" fillId="0" borderId="19" xfId="0" applyNumberFormat="1" applyFont="1" applyBorder="1" applyAlignment="1">
      <alignment horizontal="center"/>
    </xf>
    <xf numFmtId="2" fontId="7" fillId="0" borderId="13" xfId="0" applyNumberFormat="1" applyFont="1" applyBorder="1" applyAlignment="1">
      <alignment horizontal="center"/>
    </xf>
    <xf numFmtId="2" fontId="9" fillId="19" borderId="16" xfId="0" applyNumberFormat="1" applyFont="1" applyFill="1" applyBorder="1" applyAlignment="1">
      <alignment horizontal="center" wrapText="1"/>
    </xf>
    <xf numFmtId="2" fontId="9" fillId="19" borderId="14" xfId="0" applyNumberFormat="1" applyFont="1" applyFill="1" applyBorder="1" applyAlignment="1">
      <alignment horizontal="center" wrapText="1"/>
    </xf>
    <xf numFmtId="0" fontId="9" fillId="19" borderId="16" xfId="0" applyFont="1" applyFill="1" applyBorder="1" applyAlignment="1">
      <alignment horizontal="center" wrapText="1"/>
    </xf>
    <xf numFmtId="0" fontId="9" fillId="19" borderId="14" xfId="0" applyFont="1" applyFill="1" applyBorder="1" applyAlignment="1">
      <alignment horizontal="center" wrapText="1"/>
    </xf>
    <xf numFmtId="0" fontId="8" fillId="19" borderId="16" xfId="0" applyFont="1" applyFill="1" applyBorder="1" applyAlignment="1">
      <alignment horizontal="center" wrapText="1"/>
    </xf>
    <xf numFmtId="0" fontId="8" fillId="19" borderId="14" xfId="0" applyFont="1" applyFill="1" applyBorder="1" applyAlignment="1">
      <alignment horizontal="center" wrapText="1"/>
    </xf>
    <xf numFmtId="0" fontId="9" fillId="19" borderId="10" xfId="0" applyFont="1" applyFill="1" applyBorder="1" applyAlignment="1">
      <alignment horizontal="center" wrapText="1"/>
    </xf>
    <xf numFmtId="0" fontId="45" fillId="0" borderId="0" xfId="0" applyFont="1" applyAlignment="1">
      <alignment horizontal="justify" wrapText="1"/>
    </xf>
    <xf numFmtId="0" fontId="45" fillId="0" borderId="0" xfId="0" applyFont="1" applyAlignment="1">
      <alignment horizontal="justify" vertical="top" wrapText="1"/>
    </xf>
    <xf numFmtId="0" fontId="47" fillId="0" borderId="0" xfId="0" applyFont="1" applyAlignment="1">
      <alignment horizontal="center"/>
    </xf>
    <xf numFmtId="0" fontId="88" fillId="22" borderId="0" xfId="0" applyFont="1" applyFill="1" applyAlignment="1" applyProtection="1">
      <alignment horizontal="left" vertical="top"/>
      <protection hidden="1"/>
    </xf>
    <xf numFmtId="0" fontId="88" fillId="22" borderId="0" xfId="0" applyNumberFormat="1" applyFont="1" applyFill="1" applyAlignment="1" applyProtection="1">
      <alignment horizontal="left" vertical="top" wrapText="1"/>
      <protection hidden="1"/>
    </xf>
    <xf numFmtId="0" fontId="87" fillId="22" borderId="0" xfId="0" applyFont="1" applyFill="1" applyAlignment="1" applyProtection="1">
      <alignment horizontal="right" vertical="top"/>
      <protection hidden="1"/>
    </xf>
    <xf numFmtId="0" fontId="88" fillId="22" borderId="0" xfId="0" applyNumberFormat="1" applyFont="1" applyFill="1" applyAlignment="1" applyProtection="1">
      <alignment horizontal="justify" vertical="top" wrapText="1"/>
      <protection hidden="1"/>
    </xf>
    <xf numFmtId="0" fontId="88" fillId="22" borderId="0" xfId="0" applyFont="1" applyFill="1" applyAlignment="1" applyProtection="1">
      <alignment horizontal="justify" vertical="top" wrapText="1"/>
      <protection hidden="1"/>
    </xf>
    <xf numFmtId="0" fontId="88" fillId="22" borderId="0" xfId="0" applyFont="1" applyFill="1" applyAlignment="1" applyProtection="1">
      <alignment horizontal="left" vertical="top" wrapText="1"/>
      <protection hidden="1"/>
    </xf>
    <xf numFmtId="0" fontId="88" fillId="22" borderId="0" xfId="0" applyFont="1" applyFill="1" applyAlignment="1" applyProtection="1">
      <alignment horizontal="justify" vertical="top"/>
      <protection hidden="1"/>
    </xf>
    <xf numFmtId="0" fontId="87" fillId="22" borderId="0" xfId="0" applyFont="1" applyFill="1" applyAlignment="1" applyProtection="1">
      <alignment horizontal="justify" vertical="top" wrapText="1"/>
      <protection hidden="1"/>
    </xf>
    <xf numFmtId="0" fontId="87" fillId="22" borderId="0" xfId="0" applyFont="1" applyFill="1" applyAlignment="1" applyProtection="1">
      <alignment horizontal="justify" vertical="top"/>
      <protection hidden="1"/>
    </xf>
    <xf numFmtId="0" fontId="87" fillId="22" borderId="0" xfId="0" applyNumberFormat="1" applyFont="1" applyFill="1" applyAlignment="1" applyProtection="1">
      <alignment horizontal="justify" vertical="top"/>
      <protection hidden="1"/>
    </xf>
    <xf numFmtId="0" fontId="87" fillId="22" borderId="0" xfId="0" applyNumberFormat="1" applyFont="1" applyFill="1" applyAlignment="1" applyProtection="1">
      <alignment horizontal="justify" vertical="top" wrapText="1"/>
      <protection hidden="1"/>
    </xf>
    <xf numFmtId="0" fontId="1" fillId="22" borderId="0" xfId="0" applyFont="1" applyFill="1" applyAlignment="1">
      <alignment horizontal="left" vertical="center"/>
    </xf>
    <xf numFmtId="0" fontId="1" fillId="22" borderId="0" xfId="0" applyFont="1" applyFill="1" applyAlignment="1" applyProtection="1">
      <alignment horizontal="center" vertical="center" wrapText="1"/>
      <protection hidden="1"/>
    </xf>
    <xf numFmtId="0" fontId="0" fillId="22" borderId="0" xfId="0" applyFill="1" applyAlignment="1" applyProtection="1">
      <alignment horizontal="center" vertical="center" wrapText="1"/>
      <protection hidden="1"/>
    </xf>
    <xf numFmtId="0" fontId="99" fillId="22" borderId="0" xfId="0" applyFont="1" applyFill="1" applyAlignment="1">
      <alignment horizontal="left" vertical="top"/>
    </xf>
    <xf numFmtId="0" fontId="1" fillId="22" borderId="0" xfId="0" applyFont="1" applyFill="1" applyAlignment="1">
      <alignment horizontal="left" vertical="center" wrapText="1"/>
    </xf>
    <xf numFmtId="0" fontId="99" fillId="22" borderId="0" xfId="0" applyFont="1" applyFill="1" applyAlignment="1">
      <alignment horizontal="left"/>
    </xf>
    <xf numFmtId="0" fontId="72" fillId="23" borderId="19" xfId="0" applyFont="1" applyFill="1" applyBorder="1" applyAlignment="1" applyProtection="1">
      <alignment horizontal="center" vertical="center" wrapText="1"/>
      <protection hidden="1"/>
    </xf>
    <xf numFmtId="0" fontId="72" fillId="23" borderId="13" xfId="0" applyFont="1" applyFill="1" applyBorder="1" applyAlignment="1" applyProtection="1">
      <alignment horizontal="center" vertical="center" wrapText="1"/>
      <protection hidden="1"/>
    </xf>
    <xf numFmtId="0" fontId="41" fillId="22" borderId="0" xfId="0" applyFont="1" applyFill="1" applyAlignment="1" applyProtection="1">
      <alignment horizontal="center" vertical="center" wrapText="1"/>
      <protection hidden="1"/>
    </xf>
    <xf numFmtId="0" fontId="50" fillId="22" borderId="0" xfId="0" applyFont="1" applyFill="1" applyAlignment="1" applyProtection="1">
      <alignment horizontal="left" vertical="top" wrapText="1"/>
      <protection hidden="1"/>
    </xf>
    <xf numFmtId="0" fontId="6" fillId="18" borderId="0" xfId="0" applyFont="1" applyFill="1" applyAlignment="1" applyProtection="1">
      <alignment horizontal="justify" vertical="top" wrapText="1"/>
      <protection hidden="1"/>
    </xf>
    <xf numFmtId="0" fontId="3" fillId="22" borderId="0" xfId="0" applyFont="1" applyFill="1" applyAlignment="1" applyProtection="1">
      <alignment horizontal="center" vertical="center" wrapText="1"/>
      <protection hidden="1"/>
    </xf>
    <xf numFmtId="0" fontId="50" fillId="22" borderId="0" xfId="0" applyFont="1" applyFill="1" applyAlignment="1" applyProtection="1">
      <alignment horizontal="center" vertical="top" wrapText="1"/>
      <protection hidden="1"/>
    </xf>
    <xf numFmtId="0" fontId="34" fillId="22" borderId="0" xfId="0" applyFont="1" applyFill="1" applyAlignment="1" applyProtection="1">
      <alignment horizontal="center" vertical="center" wrapText="1"/>
      <protection hidden="1"/>
    </xf>
    <xf numFmtId="0" fontId="7" fillId="18" borderId="20" xfId="0" applyFont="1" applyFill="1" applyBorder="1" applyAlignment="1" applyProtection="1">
      <alignment horizontal="left"/>
      <protection hidden="1"/>
    </xf>
    <xf numFmtId="0" fontId="7" fillId="18" borderId="17" xfId="0" applyFont="1" applyFill="1" applyBorder="1" applyAlignment="1" applyProtection="1">
      <alignment horizontal="left"/>
      <protection hidden="1"/>
    </xf>
    <xf numFmtId="0" fontId="7" fillId="18" borderId="21" xfId="0" applyFont="1" applyFill="1" applyBorder="1" applyAlignment="1" applyProtection="1">
      <alignment horizontal="left"/>
      <protection hidden="1"/>
    </xf>
    <xf numFmtId="0" fontId="7" fillId="18" borderId="22" xfId="0" applyFont="1" applyFill="1" applyBorder="1" applyAlignment="1" applyProtection="1">
      <alignment horizontal="left"/>
      <protection hidden="1"/>
    </xf>
    <xf numFmtId="0" fontId="7" fillId="18" borderId="11" xfId="0" applyFont="1" applyFill="1" applyBorder="1" applyAlignment="1" applyProtection="1">
      <alignment horizontal="left"/>
      <protection hidden="1"/>
    </xf>
    <xf numFmtId="0" fontId="7" fillId="18" borderId="15" xfId="0" applyFont="1" applyFill="1" applyBorder="1" applyAlignment="1" applyProtection="1">
      <alignment horizontal="left"/>
      <protection hidden="1"/>
    </xf>
    <xf numFmtId="0" fontId="38" fillId="18" borderId="20" xfId="0" applyFont="1" applyFill="1" applyBorder="1" applyAlignment="1" applyProtection="1">
      <alignment horizontal="left"/>
      <protection hidden="1"/>
    </xf>
    <xf numFmtId="0" fontId="38" fillId="18" borderId="17" xfId="0" applyFont="1" applyFill="1" applyBorder="1" applyAlignment="1" applyProtection="1">
      <alignment horizontal="left"/>
      <protection hidden="1"/>
    </xf>
    <xf numFmtId="0" fontId="38" fillId="18" borderId="21" xfId="0" applyFont="1" applyFill="1" applyBorder="1" applyAlignment="1" applyProtection="1">
      <alignment horizontal="left"/>
      <protection hidden="1"/>
    </xf>
    <xf numFmtId="0" fontId="38" fillId="18" borderId="22" xfId="0" applyFont="1" applyFill="1" applyBorder="1" applyAlignment="1" applyProtection="1">
      <alignment horizontal="left"/>
      <protection hidden="1"/>
    </xf>
    <xf numFmtId="0" fontId="31" fillId="21" borderId="18" xfId="0" applyFont="1" applyFill="1" applyBorder="1" applyAlignment="1" applyProtection="1">
      <alignment horizontal="center" vertical="center" wrapText="1"/>
      <protection hidden="1"/>
    </xf>
    <xf numFmtId="0" fontId="31" fillId="21" borderId="19" xfId="0" applyFont="1" applyFill="1" applyBorder="1" applyAlignment="1" applyProtection="1">
      <alignment horizontal="center" vertical="center" wrapText="1"/>
      <protection hidden="1"/>
    </xf>
    <xf numFmtId="0" fontId="31" fillId="21" borderId="13" xfId="0" applyFont="1" applyFill="1" applyBorder="1" applyAlignment="1" applyProtection="1">
      <alignment horizontal="center" vertical="center" wrapText="1"/>
      <protection hidden="1"/>
    </xf>
    <xf numFmtId="0" fontId="38" fillId="18" borderId="21" xfId="0" applyFont="1" applyFill="1" applyBorder="1" applyAlignment="1" applyProtection="1">
      <alignment wrapText="1"/>
      <protection hidden="1"/>
    </xf>
    <xf numFmtId="0" fontId="38" fillId="18" borderId="22" xfId="0" applyFont="1" applyFill="1" applyBorder="1" applyAlignment="1" applyProtection="1">
      <alignment wrapText="1"/>
      <protection hidden="1"/>
    </xf>
    <xf numFmtId="0" fontId="38" fillId="18" borderId="21" xfId="0" applyFont="1" applyFill="1" applyBorder="1" applyAlignment="1" applyProtection="1">
      <alignment horizontal="left" vertical="top" wrapText="1"/>
      <protection hidden="1"/>
    </xf>
    <xf numFmtId="0" fontId="38" fillId="18" borderId="22" xfId="0" applyFont="1" applyFill="1" applyBorder="1" applyAlignment="1" applyProtection="1">
      <alignment horizontal="left" vertical="top" wrapText="1"/>
      <protection hidden="1"/>
    </xf>
    <xf numFmtId="0" fontId="38" fillId="18" borderId="0" xfId="0" applyFont="1" applyFill="1" applyBorder="1" applyAlignment="1" applyProtection="1">
      <alignment horizontal="left" vertical="top" wrapText="1"/>
      <protection hidden="1"/>
    </xf>
    <xf numFmtId="0" fontId="38" fillId="22" borderId="25" xfId="0" applyFont="1" applyFill="1" applyBorder="1" applyAlignment="1" applyProtection="1">
      <alignment wrapText="1"/>
      <protection hidden="1"/>
    </xf>
    <xf numFmtId="0" fontId="38" fillId="18" borderId="11" xfId="0" applyFont="1" applyFill="1" applyBorder="1" applyAlignment="1" applyProtection="1">
      <alignment wrapText="1"/>
      <protection hidden="1"/>
    </xf>
    <xf numFmtId="0" fontId="38" fillId="18" borderId="15" xfId="0" applyFont="1" applyFill="1" applyBorder="1" applyAlignment="1" applyProtection="1">
      <alignment wrapText="1"/>
      <protection hidden="1"/>
    </xf>
    <xf numFmtId="0" fontId="1" fillId="22" borderId="0" xfId="0" applyFont="1" applyFill="1" applyAlignment="1" applyProtection="1">
      <alignment horizontal="left" vertical="top" wrapText="1"/>
      <protection locked="0" hidden="1"/>
    </xf>
    <xf numFmtId="0" fontId="0" fillId="22" borderId="0" xfId="0" applyFill="1" applyAlignment="1" applyProtection="1">
      <alignment horizontal="left" vertical="top" wrapText="1"/>
      <protection locked="0" hidden="1"/>
    </xf>
    <xf numFmtId="0" fontId="50" fillId="22" borderId="0" xfId="0" applyNumberFormat="1" applyFont="1" applyFill="1" applyAlignment="1" applyProtection="1">
      <alignment horizontal="left" vertical="top" wrapText="1"/>
      <protection locked="0" hidden="1"/>
    </xf>
    <xf numFmtId="0" fontId="50" fillId="22" borderId="0" xfId="0" applyNumberFormat="1" applyFont="1" applyFill="1" applyAlignment="1" applyProtection="1">
      <alignment horizontal="justify" vertical="top" wrapText="1"/>
      <protection locked="0" hidden="1"/>
    </xf>
    <xf numFmtId="0" fontId="50" fillId="22" borderId="39" xfId="0" applyFont="1" applyFill="1" applyBorder="1" applyAlignment="1" applyProtection="1">
      <alignment horizontal="center" vertical="center" wrapText="1"/>
      <protection locked="0" hidden="1"/>
    </xf>
    <xf numFmtId="167" fontId="50" fillId="22" borderId="39" xfId="0" applyNumberFormat="1" applyFont="1" applyFill="1" applyBorder="1" applyAlignment="1" applyProtection="1">
      <alignment horizontal="center" vertical="center" wrapText="1"/>
      <protection locked="0" hidden="1"/>
    </xf>
    <xf numFmtId="0" fontId="50" fillId="22" borderId="39" xfId="0" applyNumberFormat="1" applyFont="1" applyFill="1" applyBorder="1" applyAlignment="1" applyProtection="1">
      <alignment horizontal="center" vertical="center" wrapText="1"/>
      <protection locked="0" hidden="1"/>
    </xf>
    <xf numFmtId="0" fontId="50" fillId="22" borderId="27" xfId="0" applyFont="1" applyFill="1" applyBorder="1" applyAlignment="1" applyProtection="1">
      <alignment horizontal="left" vertical="center" wrapText="1"/>
      <protection locked="0" hidden="1"/>
    </xf>
    <xf numFmtId="0" fontId="50" fillId="22" borderId="28" xfId="0" applyFont="1" applyFill="1" applyBorder="1" applyAlignment="1" applyProtection="1">
      <alignment horizontal="left" vertical="center" wrapText="1"/>
      <protection locked="0" hidden="1"/>
    </xf>
    <xf numFmtId="0" fontId="50" fillId="22" borderId="29" xfId="0" applyFont="1" applyFill="1" applyBorder="1" applyAlignment="1" applyProtection="1">
      <alignment horizontal="left" vertical="center" wrapText="1"/>
      <protection locked="0" hidden="1"/>
    </xf>
    <xf numFmtId="0" fontId="49" fillId="22" borderId="0" xfId="0" applyFont="1" applyFill="1" applyAlignment="1" applyProtection="1">
      <alignment horizontal="center" vertical="center" wrapText="1"/>
      <protection locked="0" hidden="1"/>
    </xf>
    <xf numFmtId="0" fontId="50" fillId="22" borderId="39" xfId="0" applyFont="1" applyFill="1" applyBorder="1" applyAlignment="1" applyProtection="1">
      <alignment horizontal="center" vertical="center"/>
      <protection locked="0" hidden="1"/>
    </xf>
    <xf numFmtId="0" fontId="50" fillId="22" borderId="39" xfId="0" applyNumberFormat="1" applyFont="1" applyFill="1" applyBorder="1" applyAlignment="1" applyProtection="1">
      <alignment horizontal="center" vertical="center"/>
      <protection locked="0" hidden="1"/>
    </xf>
    <xf numFmtId="0" fontId="50" fillId="22" borderId="27" xfId="0" applyFont="1" applyFill="1" applyBorder="1" applyAlignment="1" applyProtection="1">
      <alignment horizontal="center" vertical="center" wrapText="1"/>
      <protection locked="0" hidden="1"/>
    </xf>
    <xf numFmtId="0" fontId="50" fillId="22" borderId="28" xfId="0" applyFont="1" applyFill="1" applyBorder="1" applyAlignment="1" applyProtection="1">
      <alignment horizontal="center" vertical="center" wrapText="1"/>
      <protection locked="0" hidden="1"/>
    </xf>
    <xf numFmtId="0" fontId="50" fillId="22" borderId="29" xfId="0" applyFont="1" applyFill="1" applyBorder="1" applyAlignment="1" applyProtection="1">
      <alignment horizontal="center" vertical="center" wrapText="1"/>
      <protection locked="0" hidden="1"/>
    </xf>
    <xf numFmtId="0" fontId="50" fillId="22" borderId="0" xfId="0" applyFont="1" applyFill="1" applyAlignment="1" applyProtection="1">
      <alignment horizontal="left" vertical="top"/>
      <protection locked="0" hidden="1"/>
    </xf>
    <xf numFmtId="0" fontId="50" fillId="22" borderId="0" xfId="0" applyFont="1" applyFill="1" applyAlignment="1" applyProtection="1">
      <alignment horizontal="center" vertical="top"/>
      <protection locked="0" hidden="1"/>
    </xf>
    <xf numFmtId="0" fontId="50" fillId="22" borderId="0" xfId="0" applyFont="1" applyFill="1" applyAlignment="1" applyProtection="1">
      <alignment horizontal="left" wrapText="1"/>
      <protection locked="0" hidden="1"/>
    </xf>
    <xf numFmtId="0" fontId="50" fillId="22" borderId="0" xfId="0" applyFont="1" applyFill="1" applyAlignment="1" applyProtection="1">
      <alignment horizontal="left"/>
      <protection locked="0" hidden="1"/>
    </xf>
    <xf numFmtId="49" fontId="50" fillId="22" borderId="0" xfId="0" applyNumberFormat="1" applyFont="1" applyFill="1" applyAlignment="1" applyProtection="1">
      <alignment horizontal="left" vertical="top" wrapText="1"/>
      <protection locked="0" hidden="1"/>
    </xf>
    <xf numFmtId="0" fontId="49" fillId="22" borderId="0" xfId="0" applyNumberFormat="1" applyFont="1" applyFill="1" applyAlignment="1" applyProtection="1">
      <alignment horizontal="center" vertical="center" wrapText="1"/>
      <protection locked="0" hidden="1"/>
    </xf>
    <xf numFmtId="0" fontId="50" fillId="22" borderId="0" xfId="0" applyNumberFormat="1" applyFont="1" applyFill="1" applyAlignment="1" applyProtection="1">
      <alignment horizontal="left" vertical="top"/>
      <protection locked="0" hidden="1"/>
    </xf>
    <xf numFmtId="0" fontId="50" fillId="27" borderId="0" xfId="0" applyNumberFormat="1" applyFont="1" applyFill="1" applyAlignment="1" applyProtection="1">
      <alignment horizontal="left" vertical="top" wrapText="1"/>
      <protection locked="0" hidden="1"/>
    </xf>
    <xf numFmtId="0" fontId="49" fillId="27" borderId="0" xfId="0" applyNumberFormat="1" applyFont="1" applyFill="1" applyAlignment="1" applyProtection="1">
      <alignment horizontal="justify" wrapText="1"/>
      <protection locked="0" hidden="1"/>
    </xf>
    <xf numFmtId="0" fontId="50" fillId="27" borderId="0" xfId="0" applyNumberFormat="1" applyFont="1" applyFill="1" applyAlignment="1" applyProtection="1">
      <alignment horizontal="justify" wrapText="1"/>
      <protection locked="0" hidden="1"/>
    </xf>
    <xf numFmtId="0" fontId="50" fillId="22" borderId="0" xfId="0" applyFont="1" applyFill="1" applyAlignment="1" applyProtection="1">
      <alignment horizontal="left" vertical="top" wrapText="1"/>
      <protection locked="0" hidden="1"/>
    </xf>
    <xf numFmtId="0" fontId="50" fillId="22" borderId="0" xfId="0" applyFont="1" applyFill="1" applyAlignment="1" applyProtection="1">
      <alignment horizontal="justify" vertical="top" wrapText="1"/>
      <protection locked="0" hidden="1"/>
    </xf>
    <xf numFmtId="0" fontId="50" fillId="27" borderId="0" xfId="0" applyNumberFormat="1" applyFont="1" applyFill="1" applyAlignment="1" applyProtection="1">
      <alignment horizontal="left" vertical="top"/>
      <protection locked="0" hidden="1"/>
    </xf>
    <xf numFmtId="0" fontId="50" fillId="22" borderId="27" xfId="0" applyFont="1" applyFill="1" applyBorder="1" applyAlignment="1" applyProtection="1">
      <alignment horizontal="center" vertical="center"/>
      <protection locked="0" hidden="1"/>
    </xf>
    <xf numFmtId="0" fontId="50" fillId="22" borderId="28" xfId="0" applyFont="1" applyFill="1" applyBorder="1" applyAlignment="1" applyProtection="1">
      <alignment horizontal="center" vertical="center"/>
      <protection locked="0" hidden="1"/>
    </xf>
    <xf numFmtId="167" fontId="50" fillId="22" borderId="28" xfId="0" applyNumberFormat="1" applyFont="1" applyFill="1" applyBorder="1" applyAlignment="1" applyProtection="1">
      <alignment horizontal="right" vertical="center"/>
      <protection locked="0" hidden="1"/>
    </xf>
    <xf numFmtId="167" fontId="50" fillId="22" borderId="29" xfId="0" applyNumberFormat="1" applyFont="1" applyFill="1" applyBorder="1" applyAlignment="1" applyProtection="1">
      <alignment horizontal="right" vertical="center"/>
      <protection locked="0" hidden="1"/>
    </xf>
    <xf numFmtId="167" fontId="50" fillId="22" borderId="28" xfId="0" applyNumberFormat="1" applyFont="1" applyFill="1" applyBorder="1" applyAlignment="1" applyProtection="1">
      <alignment horizontal="center" vertical="center" wrapText="1"/>
      <protection locked="0" hidden="1"/>
    </xf>
    <xf numFmtId="167" fontId="50" fillId="22" borderId="29" xfId="0" applyNumberFormat="1" applyFont="1" applyFill="1" applyBorder="1" applyAlignment="1" applyProtection="1">
      <alignment horizontal="center" vertical="center" wrapText="1"/>
      <protection locked="0" hidden="1"/>
    </xf>
    <xf numFmtId="0" fontId="96" fillId="22" borderId="27" xfId="0" applyFont="1" applyFill="1" applyBorder="1" applyAlignment="1" applyProtection="1">
      <alignment horizontal="center" vertical="center" wrapText="1"/>
      <protection locked="0" hidden="1"/>
    </xf>
    <xf numFmtId="0" fontId="96" fillId="22" borderId="28" xfId="0" applyFont="1" applyFill="1" applyBorder="1" applyAlignment="1" applyProtection="1">
      <alignment horizontal="center" vertical="center" wrapText="1"/>
      <protection locked="0" hidden="1"/>
    </xf>
    <xf numFmtId="0" fontId="96" fillId="22" borderId="27" xfId="0" applyFont="1" applyFill="1" applyBorder="1" applyAlignment="1" applyProtection="1">
      <alignment horizontal="center" vertical="center"/>
      <protection locked="0" hidden="1"/>
    </xf>
    <xf numFmtId="0" fontId="96" fillId="22" borderId="28" xfId="0" applyFont="1" applyFill="1" applyBorder="1" applyAlignment="1" applyProtection="1">
      <alignment horizontal="center" vertical="center"/>
      <protection locked="0" hidden="1"/>
    </xf>
    <xf numFmtId="0" fontId="96" fillId="22" borderId="29" xfId="0" applyFont="1" applyFill="1" applyBorder="1" applyAlignment="1" applyProtection="1">
      <alignment horizontal="center" vertical="center"/>
      <protection locked="0" hidden="1"/>
    </xf>
    <xf numFmtId="0" fontId="96" fillId="22" borderId="29" xfId="0" applyFont="1" applyFill="1" applyBorder="1" applyAlignment="1" applyProtection="1">
      <alignment horizontal="center" vertical="center" wrapText="1"/>
      <protection locked="0" hidden="1"/>
    </xf>
    <xf numFmtId="167" fontId="50" fillId="22" borderId="27" xfId="0" applyNumberFormat="1" applyFont="1" applyFill="1" applyBorder="1" applyAlignment="1" applyProtection="1">
      <alignment horizontal="right" vertical="center"/>
      <protection locked="0" hidden="1"/>
    </xf>
    <xf numFmtId="0" fontId="48" fillId="18" borderId="0" xfId="0" applyFont="1" applyFill="1" applyAlignment="1" applyProtection="1">
      <alignment horizontal="left" vertical="center"/>
      <protection locked="0" hidden="1"/>
    </xf>
    <xf numFmtId="0" fontId="49" fillId="22" borderId="0" xfId="0" applyFont="1" applyFill="1" applyAlignment="1" applyProtection="1">
      <alignment horizontal="center" vertical="top"/>
      <protection locked="0" hidden="1"/>
    </xf>
    <xf numFmtId="0" fontId="50" fillId="22" borderId="0" xfId="0" applyFont="1" applyFill="1" applyAlignment="1" applyProtection="1">
      <alignment horizontal="center" vertical="center"/>
      <protection locked="0" hidden="1"/>
    </xf>
    <xf numFmtId="0" fontId="49" fillId="22" borderId="0" xfId="0" applyFont="1" applyFill="1" applyAlignment="1" applyProtection="1">
      <alignment horizontal="center"/>
      <protection locked="0" hidden="1"/>
    </xf>
    <xf numFmtId="0" fontId="49" fillId="22" borderId="0" xfId="0" applyFont="1" applyFill="1" applyAlignment="1" applyProtection="1">
      <alignment horizontal="center" vertical="center"/>
      <protection locked="0" hidden="1"/>
    </xf>
    <xf numFmtId="0" fontId="52" fillId="18" borderId="0" xfId="0" applyFont="1" applyFill="1" applyAlignment="1" applyProtection="1">
      <alignment horizontal="center"/>
      <protection locked="0" hidden="1"/>
    </xf>
    <xf numFmtId="0" fontId="49" fillId="18" borderId="0" xfId="0" applyFont="1" applyFill="1" applyAlignment="1" applyProtection="1">
      <alignment horizontal="center" vertical="center" wrapText="1"/>
      <protection locked="0" hidden="1"/>
    </xf>
    <xf numFmtId="0" fontId="50" fillId="18" borderId="0" xfId="0" applyFont="1" applyFill="1" applyAlignment="1" applyProtection="1">
      <alignment horizontal="center" vertical="center"/>
      <protection locked="0" hidden="1"/>
    </xf>
    <xf numFmtId="0" fontId="49" fillId="18" borderId="0" xfId="0" applyFont="1" applyFill="1" applyAlignment="1" applyProtection="1">
      <alignment horizontal="left" vertical="top"/>
      <protection locked="0" hidden="1"/>
    </xf>
    <xf numFmtId="0" fontId="49" fillId="22" borderId="0" xfId="0" applyFont="1" applyFill="1" applyAlignment="1" applyProtection="1">
      <alignment horizontal="left" vertical="top"/>
      <protection locked="0" hidden="1"/>
    </xf>
    <xf numFmtId="0" fontId="34" fillId="22" borderId="27" xfId="0" applyFont="1" applyFill="1" applyBorder="1" applyAlignment="1" applyProtection="1">
      <alignment horizontal="center" vertical="center"/>
      <protection locked="0" hidden="1"/>
    </xf>
    <xf numFmtId="0" fontId="34" fillId="22" borderId="28" xfId="0" applyFont="1" applyFill="1" applyBorder="1" applyAlignment="1" applyProtection="1">
      <alignment horizontal="center" vertical="center"/>
      <protection locked="0" hidden="1"/>
    </xf>
    <xf numFmtId="0" fontId="34" fillId="22" borderId="29" xfId="0" applyFont="1" applyFill="1" applyBorder="1" applyAlignment="1" applyProtection="1">
      <alignment horizontal="center" vertical="center"/>
      <protection locked="0" hidden="1"/>
    </xf>
    <xf numFmtId="0" fontId="51" fillId="22" borderId="0" xfId="0" applyFont="1" applyFill="1" applyAlignment="1" applyProtection="1">
      <alignment horizontal="center" vertical="center"/>
      <protection locked="0" hidden="1"/>
    </xf>
    <xf numFmtId="14" fontId="50" fillId="18" borderId="0" xfId="0" applyNumberFormat="1" applyFont="1" applyFill="1" applyAlignment="1" applyProtection="1">
      <alignment horizontal="justify" vertical="top" wrapText="1"/>
      <protection locked="0" hidden="1"/>
    </xf>
    <xf numFmtId="14" fontId="49" fillId="18" borderId="0" xfId="0" applyNumberFormat="1" applyFont="1" applyFill="1" applyAlignment="1" applyProtection="1">
      <alignment horizontal="left" vertical="top"/>
      <protection locked="0" hidden="1"/>
    </xf>
    <xf numFmtId="0" fontId="83" fillId="18" borderId="0" xfId="0" applyFont="1" applyFill="1" applyAlignment="1" applyProtection="1">
      <alignment horizontal="center"/>
      <protection locked="0" hidden="1"/>
    </xf>
    <xf numFmtId="0" fontId="50" fillId="18" borderId="0" xfId="0" applyFont="1" applyFill="1" applyAlignment="1" applyProtection="1">
      <alignment horizontal="left" wrapText="1"/>
      <protection locked="0" hidden="1"/>
    </xf>
    <xf numFmtId="0" fontId="50" fillId="18" borderId="0" xfId="0" applyFont="1" applyFill="1" applyAlignment="1" applyProtection="1">
      <alignment horizontal="left" vertical="top"/>
      <protection locked="0" hidden="1"/>
    </xf>
    <xf numFmtId="0" fontId="50" fillId="18" borderId="0" xfId="0" applyFont="1" applyFill="1" applyAlignment="1" applyProtection="1">
      <alignment horizontal="left" vertical="center"/>
      <protection locked="0" hidden="1"/>
    </xf>
    <xf numFmtId="0" fontId="50" fillId="18" borderId="0" xfId="0" applyFont="1" applyFill="1" applyAlignment="1" applyProtection="1">
      <alignment horizontal="left" vertical="top" wrapText="1"/>
      <protection locked="0" hidden="1"/>
    </xf>
    <xf numFmtId="0" fontId="50" fillId="18" borderId="0" xfId="0" applyFont="1" applyFill="1" applyAlignment="1" applyProtection="1">
      <alignment horizontal="left" vertical="center"/>
      <protection hidden="1"/>
    </xf>
    <xf numFmtId="0" fontId="50" fillId="18" borderId="0" xfId="0" applyFont="1" applyFill="1" applyAlignment="1" applyProtection="1">
      <alignment horizontal="justify" vertical="top" wrapText="1"/>
      <protection locked="0" hidden="1"/>
    </xf>
    <xf numFmtId="0" fontId="0" fillId="22" borderId="28" xfId="0" applyFill="1" applyBorder="1" applyProtection="1">
      <protection locked="0" hidden="1"/>
    </xf>
    <xf numFmtId="0" fontId="0" fillId="22" borderId="29" xfId="0" applyFill="1" applyBorder="1" applyProtection="1">
      <protection locked="0" hidden="1"/>
    </xf>
    <xf numFmtId="0" fontId="50" fillId="22" borderId="0" xfId="0" applyNumberFormat="1" applyFont="1" applyFill="1" applyAlignment="1" applyProtection="1">
      <alignment horizontal="justify" vertical="top"/>
      <protection locked="0" hidden="1"/>
    </xf>
    <xf numFmtId="0" fontId="11" fillId="22" borderId="0" xfId="0" applyFont="1" applyFill="1" applyAlignment="1" applyProtection="1">
      <alignment horizontal="left" vertical="top" wrapText="1"/>
      <protection locked="0" hidden="1"/>
    </xf>
    <xf numFmtId="167" fontId="49" fillId="22" borderId="27" xfId="0" applyNumberFormat="1" applyFont="1" applyFill="1" applyBorder="1" applyAlignment="1" applyProtection="1">
      <alignment horizontal="center" vertical="center"/>
      <protection locked="0" hidden="1"/>
    </xf>
    <xf numFmtId="167" fontId="49" fillId="22" borderId="28" xfId="0" applyNumberFormat="1" applyFont="1" applyFill="1" applyBorder="1" applyAlignment="1" applyProtection="1">
      <alignment horizontal="center" vertical="center"/>
      <protection locked="0" hidden="1"/>
    </xf>
    <xf numFmtId="167" fontId="49" fillId="22" borderId="29" xfId="0" applyNumberFormat="1" applyFont="1" applyFill="1" applyBorder="1" applyAlignment="1" applyProtection="1">
      <alignment horizontal="center" vertical="center"/>
      <protection locked="0" hidden="1"/>
    </xf>
    <xf numFmtId="0" fontId="49" fillId="22" borderId="27" xfId="0" applyFont="1" applyFill="1" applyBorder="1" applyAlignment="1" applyProtection="1">
      <alignment horizontal="left" vertical="center" wrapText="1"/>
      <protection locked="0" hidden="1"/>
    </xf>
    <xf numFmtId="0" fontId="49" fillId="22" borderId="28" xfId="0" applyFont="1" applyFill="1" applyBorder="1" applyAlignment="1" applyProtection="1">
      <alignment horizontal="left" vertical="center" wrapText="1"/>
      <protection locked="0" hidden="1"/>
    </xf>
    <xf numFmtId="0" fontId="50" fillId="22" borderId="51" xfId="0" applyFont="1" applyFill="1" applyBorder="1" applyAlignment="1" applyProtection="1">
      <alignment horizontal="left" vertical="center" wrapText="1"/>
      <protection locked="0" hidden="1"/>
    </xf>
    <xf numFmtId="0" fontId="50" fillId="22" borderId="52" xfId="0" applyFont="1" applyFill="1" applyBorder="1" applyAlignment="1" applyProtection="1">
      <alignment horizontal="left" vertical="center" wrapText="1"/>
      <protection locked="0" hidden="1"/>
    </xf>
    <xf numFmtId="0" fontId="49" fillId="22" borderId="56" xfId="0" applyFont="1" applyFill="1" applyBorder="1" applyAlignment="1" applyProtection="1">
      <alignment horizontal="justify" vertical="justify"/>
      <protection locked="0" hidden="1"/>
    </xf>
    <xf numFmtId="0" fontId="85" fillId="22" borderId="0" xfId="0" applyFont="1" applyFill="1" applyAlignment="1" applyProtection="1">
      <alignment horizontal="left" wrapText="1"/>
      <protection hidden="1"/>
    </xf>
    <xf numFmtId="0" fontId="50" fillId="22" borderId="44" xfId="0" applyFont="1" applyFill="1" applyBorder="1" applyAlignment="1" applyProtection="1">
      <alignment horizontal="right"/>
      <protection locked="0"/>
    </xf>
    <xf numFmtId="0" fontId="50" fillId="22" borderId="41" xfId="0" applyFont="1" applyFill="1" applyBorder="1" applyAlignment="1" applyProtection="1">
      <alignment horizontal="right"/>
      <protection locked="0"/>
    </xf>
    <xf numFmtId="0" fontId="50" fillId="22" borderId="41" xfId="0" applyFont="1" applyFill="1" applyBorder="1" applyAlignment="1" applyProtection="1">
      <alignment horizontal="left" vertical="center"/>
      <protection hidden="1"/>
    </xf>
    <xf numFmtId="0" fontId="50" fillId="22" borderId="45" xfId="0" applyFont="1" applyFill="1" applyBorder="1" applyAlignment="1" applyProtection="1">
      <alignment horizontal="left" vertical="center"/>
      <protection hidden="1"/>
    </xf>
    <xf numFmtId="0" fontId="48" fillId="22" borderId="0" xfId="0" applyFont="1" applyFill="1" applyAlignment="1" applyProtection="1">
      <alignment horizontal="left" vertical="center"/>
      <protection hidden="1"/>
    </xf>
    <xf numFmtId="0" fontId="51" fillId="22" borderId="0" xfId="0" applyFont="1" applyFill="1" applyAlignment="1" applyProtection="1">
      <alignment horizontal="center" vertical="center" wrapText="1"/>
      <protection hidden="1"/>
    </xf>
    <xf numFmtId="0" fontId="51" fillId="22" borderId="0" xfId="0" applyFont="1" applyFill="1" applyAlignment="1" applyProtection="1">
      <alignment horizontal="center" vertical="center"/>
      <protection hidden="1"/>
    </xf>
    <xf numFmtId="0" fontId="50" fillId="22" borderId="41" xfId="0" applyFont="1" applyFill="1" applyBorder="1" applyAlignment="1" applyProtection="1">
      <alignment horizontal="left" vertical="top" wrapText="1"/>
      <protection hidden="1"/>
    </xf>
    <xf numFmtId="0" fontId="50" fillId="22" borderId="45" xfId="0" applyFont="1" applyFill="1" applyBorder="1" applyAlignment="1" applyProtection="1">
      <alignment horizontal="left" vertical="top" wrapText="1"/>
      <protection hidden="1"/>
    </xf>
    <xf numFmtId="0" fontId="50" fillId="22" borderId="0" xfId="0" applyFont="1" applyFill="1" applyBorder="1" applyAlignment="1" applyProtection="1">
      <alignment horizontal="left" vertical="top" wrapText="1"/>
      <protection hidden="1"/>
    </xf>
    <xf numFmtId="0" fontId="50" fillId="22" borderId="35" xfId="0" applyFont="1" applyFill="1" applyBorder="1" applyAlignment="1" applyProtection="1">
      <alignment horizontal="left" vertical="top" wrapText="1"/>
      <protection hidden="1"/>
    </xf>
    <xf numFmtId="2" fontId="50" fillId="22" borderId="44" xfId="0" applyNumberFormat="1" applyFont="1" applyFill="1" applyBorder="1" applyAlignment="1" applyProtection="1">
      <alignment horizontal="right" vertical="center"/>
      <protection hidden="1"/>
    </xf>
    <xf numFmtId="2" fontId="50" fillId="22" borderId="41" xfId="0" applyNumberFormat="1" applyFont="1" applyFill="1" applyBorder="1" applyAlignment="1" applyProtection="1">
      <alignment horizontal="right" vertical="center"/>
      <protection hidden="1"/>
    </xf>
    <xf numFmtId="0" fontId="50" fillId="22" borderId="52" xfId="0" applyFont="1" applyFill="1" applyBorder="1" applyAlignment="1" applyProtection="1">
      <alignment horizontal="right"/>
      <protection locked="0"/>
    </xf>
    <xf numFmtId="0" fontId="100" fillId="22" borderId="51" xfId="0" applyFont="1" applyFill="1" applyBorder="1" applyAlignment="1" applyProtection="1">
      <alignment horizontal="left" vertical="center"/>
      <protection hidden="1"/>
    </xf>
    <xf numFmtId="0" fontId="100" fillId="22" borderId="52" xfId="0" applyFont="1" applyFill="1" applyBorder="1" applyAlignment="1" applyProtection="1">
      <alignment horizontal="left" vertical="center"/>
      <protection hidden="1"/>
    </xf>
    <xf numFmtId="0" fontId="49" fillId="22" borderId="44" xfId="0" applyFont="1" applyFill="1" applyBorder="1" applyAlignment="1" applyProtection="1">
      <alignment horizontal="left" vertical="center" wrapText="1"/>
      <protection hidden="1"/>
    </xf>
    <xf numFmtId="0" fontId="49" fillId="22" borderId="41" xfId="0" applyFont="1" applyFill="1" applyBorder="1" applyAlignment="1" applyProtection="1">
      <alignment horizontal="left" vertical="center" wrapText="1"/>
      <protection hidden="1"/>
    </xf>
    <xf numFmtId="0" fontId="49" fillId="0" borderId="0" xfId="0" applyFont="1" applyFill="1" applyBorder="1" applyAlignment="1" applyProtection="1">
      <alignment horizontal="center" vertical="center" wrapText="1"/>
      <protection hidden="1"/>
    </xf>
    <xf numFmtId="49" fontId="49" fillId="22" borderId="0" xfId="0" applyNumberFormat="1" applyFont="1" applyFill="1" applyBorder="1" applyAlignment="1" applyProtection="1">
      <alignment horizontal="left" vertical="top"/>
      <protection locked="0"/>
    </xf>
    <xf numFmtId="49" fontId="50" fillId="22" borderId="0" xfId="0" applyNumberFormat="1" applyFont="1" applyFill="1" applyBorder="1" applyAlignment="1" applyProtection="1">
      <alignment horizontal="left" vertical="center"/>
      <protection locked="0"/>
    </xf>
    <xf numFmtId="49" fontId="50" fillId="22" borderId="0" xfId="0" applyNumberFormat="1" applyFont="1" applyFill="1" applyBorder="1" applyAlignment="1" applyProtection="1">
      <alignment horizontal="center" vertical="center"/>
      <protection locked="0"/>
    </xf>
    <xf numFmtId="167" fontId="50" fillId="22" borderId="0" xfId="0" applyNumberFormat="1" applyFont="1" applyFill="1" applyBorder="1" applyAlignment="1" applyProtection="1">
      <alignment horizontal="center" vertical="center"/>
      <protection locked="0"/>
    </xf>
    <xf numFmtId="49" fontId="50" fillId="22" borderId="0" xfId="0" applyNumberFormat="1" applyFont="1" applyFill="1" applyBorder="1" applyAlignment="1" applyProtection="1">
      <alignment horizontal="justify" vertical="top" wrapText="1"/>
      <protection locked="0"/>
    </xf>
    <xf numFmtId="49" fontId="50" fillId="22" borderId="0" xfId="0" applyNumberFormat="1" applyFont="1" applyFill="1" applyBorder="1" applyAlignment="1" applyProtection="1">
      <alignment horizontal="left" vertical="top" wrapText="1"/>
      <protection locked="0"/>
    </xf>
    <xf numFmtId="49" fontId="49" fillId="22" borderId="0" xfId="0" applyNumberFormat="1" applyFont="1" applyFill="1" applyBorder="1" applyAlignment="1" applyProtection="1">
      <alignment horizontal="left" vertical="center"/>
      <protection locked="0"/>
    </xf>
    <xf numFmtId="0" fontId="50" fillId="22" borderId="0" xfId="0" applyFont="1" applyFill="1" applyAlignment="1" applyProtection="1">
      <alignment horizontal="center" wrapText="1"/>
      <protection hidden="1"/>
    </xf>
    <xf numFmtId="0" fontId="50" fillId="22" borderId="47" xfId="0" applyFont="1" applyFill="1" applyBorder="1" applyAlignment="1" applyProtection="1">
      <alignment horizontal="center"/>
      <protection hidden="1"/>
    </xf>
    <xf numFmtId="0" fontId="50" fillId="22" borderId="0" xfId="0" applyFont="1" applyFill="1" applyBorder="1" applyAlignment="1" applyProtection="1">
      <alignment horizontal="center" vertical="top" wrapText="1"/>
      <protection hidden="1"/>
    </xf>
    <xf numFmtId="0" fontId="50" fillId="22" borderId="0" xfId="0" applyFont="1" applyFill="1" applyBorder="1" applyAlignment="1" applyProtection="1">
      <alignment horizontal="center" vertical="top"/>
      <protection hidden="1"/>
    </xf>
    <xf numFmtId="0" fontId="50" fillId="22" borderId="0" xfId="0" applyFont="1" applyFill="1" applyAlignment="1" applyProtection="1">
      <alignment horizontal="justify" vertical="top" wrapText="1"/>
      <protection hidden="1"/>
    </xf>
    <xf numFmtId="0" fontId="50" fillId="22" borderId="0" xfId="0" applyNumberFormat="1" applyFont="1" applyFill="1" applyAlignment="1" applyProtection="1">
      <alignment horizontal="center" wrapText="1"/>
      <protection hidden="1"/>
    </xf>
    <xf numFmtId="0" fontId="50" fillId="22" borderId="39" xfId="0" applyFont="1" applyFill="1" applyBorder="1" applyAlignment="1" applyProtection="1">
      <alignment horizontal="right" vertical="center"/>
      <protection hidden="1"/>
    </xf>
    <xf numFmtId="0" fontId="50" fillId="22" borderId="32" xfId="0" applyFont="1" applyFill="1" applyBorder="1" applyAlignment="1" applyProtection="1">
      <alignment horizontal="left" vertical="center"/>
      <protection locked="0"/>
    </xf>
    <xf numFmtId="0" fontId="50" fillId="22" borderId="32" xfId="0" applyFont="1" applyFill="1" applyBorder="1" applyAlignment="1" applyProtection="1">
      <alignment horizontal="left" vertical="center"/>
      <protection hidden="1"/>
    </xf>
    <xf numFmtId="0" fontId="50" fillId="22" borderId="32" xfId="0" applyFont="1" applyFill="1" applyBorder="1" applyAlignment="1" applyProtection="1">
      <alignment horizontal="left" vertical="center" wrapText="1"/>
      <protection hidden="1"/>
    </xf>
    <xf numFmtId="0" fontId="50" fillId="22" borderId="39" xfId="0" applyFont="1" applyFill="1" applyBorder="1" applyAlignment="1" applyProtection="1">
      <alignment horizontal="left" vertical="center"/>
      <protection hidden="1"/>
    </xf>
    <xf numFmtId="0" fontId="50" fillId="22" borderId="32" xfId="0" applyFont="1" applyFill="1" applyBorder="1" applyAlignment="1" applyProtection="1">
      <alignment horizontal="right" vertical="center" wrapText="1"/>
      <protection hidden="1"/>
    </xf>
    <xf numFmtId="0" fontId="50" fillId="22" borderId="32" xfId="0" applyFont="1" applyFill="1" applyBorder="1" applyAlignment="1" applyProtection="1">
      <alignment horizontal="right" vertical="center"/>
      <protection hidden="1"/>
    </xf>
    <xf numFmtId="49" fontId="50" fillId="22" borderId="18" xfId="0" applyNumberFormat="1" applyFont="1" applyFill="1" applyBorder="1" applyAlignment="1" applyProtection="1">
      <alignment horizontal="right" vertical="center"/>
      <protection locked="0"/>
    </xf>
    <xf numFmtId="49" fontId="50" fillId="22" borderId="19" xfId="0" applyNumberFormat="1" applyFont="1" applyFill="1" applyBorder="1" applyAlignment="1" applyProtection="1">
      <alignment horizontal="right" vertical="center"/>
      <protection locked="0"/>
    </xf>
    <xf numFmtId="49" fontId="50" fillId="22" borderId="13" xfId="0" applyNumberFormat="1" applyFont="1" applyFill="1" applyBorder="1" applyAlignment="1" applyProtection="1">
      <alignment horizontal="right" vertical="center"/>
      <protection locked="0"/>
    </xf>
    <xf numFmtId="0" fontId="49" fillId="22" borderId="27" xfId="0" applyFont="1" applyFill="1" applyBorder="1" applyAlignment="1" applyProtection="1">
      <alignment horizontal="center" vertical="center" wrapText="1"/>
      <protection hidden="1"/>
    </xf>
    <xf numFmtId="0" fontId="49" fillId="22" borderId="28" xfId="0" applyFont="1" applyFill="1" applyBorder="1" applyAlignment="1" applyProtection="1">
      <alignment horizontal="center" vertical="center" wrapText="1"/>
      <protection hidden="1"/>
    </xf>
    <xf numFmtId="0" fontId="49" fillId="22" borderId="29" xfId="0" applyFont="1" applyFill="1" applyBorder="1" applyAlignment="1" applyProtection="1">
      <alignment horizontal="center" vertical="center" wrapText="1"/>
      <protection hidden="1"/>
    </xf>
    <xf numFmtId="0" fontId="53" fillId="22" borderId="18" xfId="0" applyFont="1" applyFill="1" applyBorder="1" applyAlignment="1" applyProtection="1">
      <alignment horizontal="left" vertical="center" wrapText="1"/>
      <protection hidden="1"/>
    </xf>
    <xf numFmtId="0" fontId="53" fillId="22" borderId="19" xfId="0" applyFont="1" applyFill="1" applyBorder="1" applyAlignment="1" applyProtection="1">
      <alignment horizontal="left" vertical="center" wrapText="1"/>
      <protection hidden="1"/>
    </xf>
    <xf numFmtId="0" fontId="53" fillId="22" borderId="13" xfId="0" applyFont="1" applyFill="1" applyBorder="1" applyAlignment="1" applyProtection="1">
      <alignment horizontal="left" vertical="center" wrapText="1"/>
      <protection hidden="1"/>
    </xf>
    <xf numFmtId="0" fontId="53" fillId="22" borderId="18" xfId="0" applyFont="1" applyFill="1" applyBorder="1" applyAlignment="1" applyProtection="1">
      <alignment horizontal="right" vertical="center" wrapText="1"/>
      <protection hidden="1"/>
    </xf>
    <xf numFmtId="0" fontId="53" fillId="22" borderId="19" xfId="0" applyFont="1" applyFill="1" applyBorder="1" applyAlignment="1" applyProtection="1">
      <alignment horizontal="right" vertical="center" wrapText="1"/>
      <protection hidden="1"/>
    </xf>
    <xf numFmtId="0" fontId="53" fillId="22" borderId="13" xfId="0" applyFont="1" applyFill="1" applyBorder="1" applyAlignment="1" applyProtection="1">
      <alignment horizontal="right" vertical="center" wrapText="1"/>
      <protection hidden="1"/>
    </xf>
    <xf numFmtId="49" fontId="49" fillId="22" borderId="18" xfId="0" applyNumberFormat="1" applyFont="1" applyFill="1" applyBorder="1" applyAlignment="1" applyProtection="1">
      <alignment horizontal="left" vertical="center"/>
      <protection locked="0"/>
    </xf>
    <xf numFmtId="49" fontId="49" fillId="22" borderId="19" xfId="0" applyNumberFormat="1" applyFont="1" applyFill="1" applyBorder="1" applyAlignment="1" applyProtection="1">
      <alignment horizontal="left" vertical="center"/>
      <protection locked="0"/>
    </xf>
    <xf numFmtId="49" fontId="49" fillId="22" borderId="13" xfId="0" applyNumberFormat="1" applyFont="1" applyFill="1" applyBorder="1" applyAlignment="1" applyProtection="1">
      <alignment horizontal="left" vertical="center"/>
      <protection locked="0"/>
    </xf>
    <xf numFmtId="49" fontId="49" fillId="22" borderId="18" xfId="0" applyNumberFormat="1" applyFont="1" applyFill="1" applyBorder="1" applyAlignment="1" applyProtection="1">
      <alignment horizontal="right" vertical="center"/>
      <protection locked="0"/>
    </xf>
    <xf numFmtId="49" fontId="49" fillId="22" borderId="19" xfId="0" applyNumberFormat="1" applyFont="1" applyFill="1" applyBorder="1" applyAlignment="1" applyProtection="1">
      <alignment horizontal="right" vertical="center"/>
      <protection locked="0"/>
    </xf>
    <xf numFmtId="49" fontId="49" fillId="22" borderId="13" xfId="0" applyNumberFormat="1" applyFont="1" applyFill="1" applyBorder="1" applyAlignment="1" applyProtection="1">
      <alignment horizontal="right" vertical="center"/>
      <protection locked="0"/>
    </xf>
    <xf numFmtId="0" fontId="50" fillId="22" borderId="47" xfId="0" applyFont="1" applyFill="1" applyBorder="1" applyAlignment="1" applyProtection="1">
      <alignment horizontal="center" vertical="center"/>
      <protection locked="0"/>
    </xf>
    <xf numFmtId="0" fontId="49" fillId="22" borderId="39" xfId="0" applyFont="1" applyFill="1" applyBorder="1" applyAlignment="1" applyProtection="1">
      <alignment horizontal="center" vertical="center" wrapText="1"/>
      <protection hidden="1"/>
    </xf>
    <xf numFmtId="0" fontId="49" fillId="22" borderId="0" xfId="0" applyFont="1" applyFill="1" applyBorder="1" applyAlignment="1" applyProtection="1">
      <alignment horizontal="justify" vertical="top" wrapText="1"/>
      <protection hidden="1"/>
    </xf>
    <xf numFmtId="0" fontId="49" fillId="22" borderId="0" xfId="0" applyFont="1" applyFill="1" applyAlignment="1" applyProtection="1">
      <alignment horizontal="justify" vertical="top" wrapText="1"/>
      <protection hidden="1"/>
    </xf>
    <xf numFmtId="0" fontId="53" fillId="22" borderId="0" xfId="0" applyFont="1" applyFill="1" applyBorder="1" applyAlignment="1" applyProtection="1">
      <alignment horizontal="left" vertical="center" wrapText="1"/>
      <protection hidden="1"/>
    </xf>
    <xf numFmtId="0" fontId="53" fillId="22" borderId="0" xfId="0" applyFont="1" applyFill="1" applyBorder="1" applyAlignment="1" applyProtection="1">
      <alignment horizontal="center" vertical="center" wrapText="1"/>
      <protection hidden="1"/>
    </xf>
    <xf numFmtId="0" fontId="50" fillId="18" borderId="23" xfId="0" applyFont="1" applyFill="1" applyBorder="1" applyAlignment="1" applyProtection="1">
      <alignment horizontal="left" vertical="top"/>
      <protection locked="0" hidden="1"/>
    </xf>
    <xf numFmtId="0" fontId="50" fillId="18" borderId="0" xfId="0" applyFont="1" applyFill="1" applyBorder="1" applyAlignment="1" applyProtection="1">
      <alignment horizontal="left" vertical="top"/>
      <protection locked="0" hidden="1"/>
    </xf>
    <xf numFmtId="0" fontId="50" fillId="18" borderId="0" xfId="0" applyFont="1" applyFill="1" applyAlignment="1" applyProtection="1">
      <alignment horizontal="center" vertical="top"/>
      <protection locked="0" hidden="1"/>
    </xf>
    <xf numFmtId="173" fontId="50" fillId="22" borderId="0" xfId="0" applyNumberFormat="1" applyFont="1" applyFill="1" applyAlignment="1" applyProtection="1">
      <alignment horizontal="right" vertical="center"/>
      <protection locked="0"/>
    </xf>
    <xf numFmtId="0" fontId="52" fillId="18" borderId="0" xfId="0" applyFont="1" applyFill="1" applyAlignment="1" applyProtection="1">
      <alignment horizontal="center"/>
      <protection hidden="1"/>
    </xf>
    <xf numFmtId="0" fontId="83" fillId="18" borderId="0" xfId="0" applyFont="1" applyFill="1" applyAlignment="1" applyProtection="1">
      <alignment horizontal="center"/>
      <protection hidden="1"/>
    </xf>
    <xf numFmtId="0" fontId="50" fillId="22" borderId="0" xfId="0" applyFont="1" applyFill="1" applyAlignment="1" applyProtection="1">
      <alignment horizontal="justify" wrapText="1"/>
      <protection hidden="1"/>
    </xf>
    <xf numFmtId="2" fontId="50" fillId="22" borderId="0" xfId="0" applyNumberFormat="1" applyFont="1" applyFill="1" applyBorder="1" applyAlignment="1" applyProtection="1">
      <alignment horizontal="right" vertical="center"/>
      <protection hidden="1"/>
    </xf>
    <xf numFmtId="0" fontId="50" fillId="18" borderId="0" xfId="0" applyFont="1" applyFill="1" applyAlignment="1" applyProtection="1">
      <alignment horizontal="center" vertical="center"/>
      <protection hidden="1"/>
    </xf>
    <xf numFmtId="0" fontId="48" fillId="18" borderId="0" xfId="0" applyFont="1" applyFill="1" applyAlignment="1" applyProtection="1">
      <alignment horizontal="left" vertical="center"/>
      <protection hidden="1"/>
    </xf>
    <xf numFmtId="0" fontId="34" fillId="22" borderId="27" xfId="0" applyFont="1" applyFill="1" applyBorder="1" applyAlignment="1" applyProtection="1">
      <alignment horizontal="center" vertical="center"/>
      <protection hidden="1"/>
    </xf>
    <xf numFmtId="0" fontId="34" fillId="22" borderId="28" xfId="0" applyFont="1" applyFill="1" applyBorder="1" applyAlignment="1" applyProtection="1">
      <alignment horizontal="center" vertical="center"/>
      <protection hidden="1"/>
    </xf>
    <xf numFmtId="0" fontId="34" fillId="22" borderId="29" xfId="0" applyFont="1" applyFill="1" applyBorder="1" applyAlignment="1" applyProtection="1">
      <alignment horizontal="center" vertical="center"/>
      <protection hidden="1"/>
    </xf>
    <xf numFmtId="0" fontId="49" fillId="22" borderId="0" xfId="0" applyFont="1" applyFill="1" applyAlignment="1" applyProtection="1">
      <alignment horizontal="center" vertical="top"/>
      <protection hidden="1"/>
    </xf>
    <xf numFmtId="0" fontId="50" fillId="22" borderId="0" xfId="0" applyFont="1" applyFill="1" applyAlignment="1" applyProtection="1">
      <alignment horizontal="center" vertical="center"/>
      <protection hidden="1"/>
    </xf>
    <xf numFmtId="0" fontId="49" fillId="22" borderId="0" xfId="0" applyFont="1" applyFill="1" applyAlignment="1" applyProtection="1">
      <alignment horizontal="center"/>
      <protection hidden="1"/>
    </xf>
    <xf numFmtId="0" fontId="49" fillId="22" borderId="0" xfId="0" applyFont="1" applyFill="1" applyAlignment="1" applyProtection="1">
      <alignment horizontal="center" vertical="center"/>
      <protection hidden="1"/>
    </xf>
    <xf numFmtId="0" fontId="49" fillId="18" borderId="0" xfId="0" applyFont="1" applyFill="1" applyAlignment="1" applyProtection="1">
      <alignment horizontal="center" vertical="center"/>
      <protection hidden="1"/>
    </xf>
    <xf numFmtId="0" fontId="64" fillId="22" borderId="0" xfId="0" applyFont="1" applyFill="1" applyAlignment="1" applyProtection="1">
      <protection hidden="1"/>
    </xf>
  </cellXfs>
  <cellStyles count="47">
    <cellStyle name="20 % – Zvýraznění1" xfId="1" xr:uid="{00000000-0005-0000-0000-000000000000}"/>
    <cellStyle name="20 % – Zvýraznění2" xfId="2" xr:uid="{00000000-0005-0000-0000-000001000000}"/>
    <cellStyle name="20 % – Zvýraznění3" xfId="3" xr:uid="{00000000-0005-0000-0000-000002000000}"/>
    <cellStyle name="20 % – Zvýraznění4" xfId="4" xr:uid="{00000000-0005-0000-0000-000003000000}"/>
    <cellStyle name="20 % – Zvýraznění5" xfId="5" xr:uid="{00000000-0005-0000-0000-000004000000}"/>
    <cellStyle name="20 % – Zvýraznění6" xfId="6" xr:uid="{00000000-0005-0000-0000-000005000000}"/>
    <cellStyle name="40 % – Zvýraznění1" xfId="7" xr:uid="{00000000-0005-0000-0000-000006000000}"/>
    <cellStyle name="40 % – Zvýraznění2" xfId="8" xr:uid="{00000000-0005-0000-0000-000007000000}"/>
    <cellStyle name="40 % – Zvýraznění3" xfId="9" xr:uid="{00000000-0005-0000-0000-000008000000}"/>
    <cellStyle name="40 % – Zvýraznění4" xfId="10" xr:uid="{00000000-0005-0000-0000-000009000000}"/>
    <cellStyle name="40 % – Zvýraznění5" xfId="11" xr:uid="{00000000-0005-0000-0000-00000A000000}"/>
    <cellStyle name="40 % – Zvýraznění6" xfId="12" xr:uid="{00000000-0005-0000-0000-00000B000000}"/>
    <cellStyle name="60 % – Zvýraznění1" xfId="13" xr:uid="{00000000-0005-0000-0000-00000C000000}"/>
    <cellStyle name="60 % – Zvýraznění2" xfId="14" xr:uid="{00000000-0005-0000-0000-00000D000000}"/>
    <cellStyle name="60 % – Zvýraznění3" xfId="15" xr:uid="{00000000-0005-0000-0000-00000E000000}"/>
    <cellStyle name="60 % – Zvýraznění4" xfId="16" xr:uid="{00000000-0005-0000-0000-00000F000000}"/>
    <cellStyle name="60 % – Zvýraznění5" xfId="17" xr:uid="{00000000-0005-0000-0000-000010000000}"/>
    <cellStyle name="60 % – Zvýraznění6" xfId="18" xr:uid="{00000000-0005-0000-0000-000011000000}"/>
    <cellStyle name="Celkem" xfId="19" xr:uid="{00000000-0005-0000-0000-000012000000}"/>
    <cellStyle name="Hyperlink" xfId="45" builtinId="8"/>
    <cellStyle name="Chybně" xfId="20" xr:uid="{00000000-0005-0000-0000-000014000000}"/>
    <cellStyle name="Kontrolní buňka" xfId="21" xr:uid="{00000000-0005-0000-0000-000015000000}"/>
    <cellStyle name="Nadpis 1" xfId="22" xr:uid="{00000000-0005-0000-0000-000016000000}"/>
    <cellStyle name="Nadpis 2" xfId="23" xr:uid="{00000000-0005-0000-0000-000017000000}"/>
    <cellStyle name="Nadpis 3" xfId="24" xr:uid="{00000000-0005-0000-0000-000018000000}"/>
    <cellStyle name="Nadpis 4" xfId="25" xr:uid="{00000000-0005-0000-0000-000019000000}"/>
    <cellStyle name="Název" xfId="26" xr:uid="{00000000-0005-0000-0000-00001A000000}"/>
    <cellStyle name="Neutrální" xfId="27" xr:uid="{00000000-0005-0000-0000-00001B000000}"/>
    <cellStyle name="Normal" xfId="0" builtinId="0"/>
    <cellStyle name="Normal 2 3" xfId="43" xr:uid="{00000000-0005-0000-0000-00001D000000}"/>
    <cellStyle name="Normal_PZ_Flexi_Union-policajti" xfId="44" xr:uid="{00000000-0005-0000-0000-00001E000000}"/>
    <cellStyle name="normální_LZ1-AB-VÝSTUP" xfId="28" xr:uid="{00000000-0005-0000-0000-00001F000000}"/>
    <cellStyle name="Percent" xfId="46" builtinId="5"/>
    <cellStyle name="Poznámka" xfId="29" xr:uid="{00000000-0005-0000-0000-000020000000}"/>
    <cellStyle name="Propojená buňka" xfId="30" xr:uid="{00000000-0005-0000-0000-000021000000}"/>
    <cellStyle name="Správně" xfId="31" xr:uid="{00000000-0005-0000-0000-000022000000}"/>
    <cellStyle name="Text upozornění" xfId="32" xr:uid="{00000000-0005-0000-0000-000023000000}"/>
    <cellStyle name="Vstup" xfId="33" xr:uid="{00000000-0005-0000-0000-000024000000}"/>
    <cellStyle name="Výpočet" xfId="34" xr:uid="{00000000-0005-0000-0000-000025000000}"/>
    <cellStyle name="Výstup" xfId="35" xr:uid="{00000000-0005-0000-0000-000026000000}"/>
    <cellStyle name="Vysvětlující text" xfId="36" xr:uid="{00000000-0005-0000-0000-000027000000}"/>
    <cellStyle name="Zvýraznění 1" xfId="37" xr:uid="{00000000-0005-0000-0000-000028000000}"/>
    <cellStyle name="Zvýraznění 2" xfId="38" xr:uid="{00000000-0005-0000-0000-000029000000}"/>
    <cellStyle name="Zvýraznění 3" xfId="39" xr:uid="{00000000-0005-0000-0000-00002A000000}"/>
    <cellStyle name="Zvýraznění 4" xfId="40" xr:uid="{00000000-0005-0000-0000-00002B000000}"/>
    <cellStyle name="Zvýraznění 5" xfId="41" xr:uid="{00000000-0005-0000-0000-00002C000000}"/>
    <cellStyle name="Zvýraznění 6" xfId="42" xr:uid="{00000000-0005-0000-0000-00002D000000}"/>
  </cellStyles>
  <dxfs count="11">
    <dxf>
      <fill>
        <patternFill>
          <bgColor theme="9" tint="0.79998168889431442"/>
        </patternFill>
      </fill>
    </dxf>
    <dxf>
      <fill>
        <patternFill>
          <bgColor theme="9" tint="0.79998168889431442"/>
        </patternFill>
      </fill>
    </dxf>
    <dxf>
      <fill>
        <patternFill>
          <bgColor theme="9" tint="0.79998168889431442"/>
        </patternFill>
      </fill>
    </dxf>
    <dxf>
      <font>
        <color rgb="FF00B050"/>
      </font>
    </dxf>
    <dxf>
      <font>
        <b/>
        <i val="0"/>
        <condense val="0"/>
        <extend val="0"/>
        <color indexed="17"/>
      </font>
    </dxf>
    <dxf>
      <font>
        <b/>
        <i val="0"/>
        <color rgb="FFC00000"/>
      </font>
      <fill>
        <patternFill>
          <bgColor theme="9" tint="0.59996337778862885"/>
        </patternFill>
      </fill>
      <border>
        <left style="thin">
          <color rgb="FFC00000"/>
        </left>
        <right style="thin">
          <color rgb="FFC00000"/>
        </right>
        <top style="thin">
          <color rgb="FFC00000"/>
        </top>
        <bottom style="thin">
          <color rgb="FFC00000"/>
        </bottom>
        <vertical/>
        <horizontal/>
      </border>
    </dxf>
    <dxf>
      <font>
        <color theme="3" tint="-0.24994659260841701"/>
      </font>
      <fill>
        <patternFill>
          <bgColor theme="8" tint="0.79998168889431442"/>
        </patternFill>
      </fill>
    </dxf>
    <dxf>
      <font>
        <color theme="3" tint="-0.24994659260841701"/>
      </font>
      <fill>
        <patternFill>
          <bgColor theme="8" tint="0.79998168889431442"/>
        </patternFill>
      </fill>
    </dxf>
    <dxf>
      <font>
        <color theme="3" tint="-0.24994659260841701"/>
      </font>
      <fill>
        <patternFill>
          <bgColor theme="8" tint="0.79998168889431442"/>
        </patternFill>
      </fill>
    </dxf>
    <dxf>
      <font>
        <color theme="3" tint="-0.24994659260841701"/>
      </font>
      <fill>
        <patternFill>
          <bgColor theme="8" tint="0.79998168889431442"/>
        </patternFill>
      </fill>
    </dxf>
    <dxf>
      <font>
        <b/>
        <i val="0"/>
        <color rgb="FF6EA92D"/>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BC201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D20000"/>
      <rgbColor rgb="00993366"/>
      <rgbColor rgb="00333399"/>
      <rgbColor rgb="00333333"/>
    </indexedColors>
    <mruColors>
      <color rgb="FF9E0000"/>
      <color rgb="FF6EA92D"/>
      <color rgb="FFAC0000"/>
      <color rgb="FF993300"/>
      <color rgb="FFCC0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fmlaLink="$E$25" noThreeD="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CheckBox" fmlaLink="$E$39" noThreeD="1"/>
</file>

<file path=xl/ctrlProps/ctrlProp4.xml><?xml version="1.0" encoding="utf-8"?>
<formControlPr xmlns="http://schemas.microsoft.com/office/spreadsheetml/2009/9/main" objectType="Button"/>
</file>

<file path=xl/ctrlProps/ctrlProp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9.png"/></Relationships>
</file>

<file path=xl/drawings/_rels/drawing3.xml.rels><?xml version="1.0" encoding="UTF-8" standalone="yes"?>
<Relationships xmlns="http://schemas.openxmlformats.org/package/2006/relationships"><Relationship Id="rId1" Type="http://schemas.openxmlformats.org/officeDocument/2006/relationships/image" Target="../media/image10.png"/></Relationships>
</file>

<file path=xl/drawings/_rels/drawing4.xml.rels><?xml version="1.0" encoding="UTF-8" standalone="yes"?>
<Relationships xmlns="http://schemas.openxmlformats.org/package/2006/relationships"><Relationship Id="rId1" Type="http://schemas.openxmlformats.org/officeDocument/2006/relationships/image" Target="../media/image1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9</xdr:col>
      <xdr:colOff>585258</xdr:colOff>
      <xdr:row>60</xdr:row>
      <xdr:rowOff>96839</xdr:rowOff>
    </xdr:from>
    <xdr:to>
      <xdr:col>21</xdr:col>
      <xdr:colOff>295275</xdr:colOff>
      <xdr:row>81</xdr:row>
      <xdr:rowOff>65088</xdr:rowOff>
    </xdr:to>
    <xdr:pic>
      <xdr:nvPicPr>
        <xdr:cNvPr id="11378" name="Picture 19">
          <a:extLst>
            <a:ext uri="{FF2B5EF4-FFF2-40B4-BE49-F238E27FC236}">
              <a16:creationId xmlns:a16="http://schemas.microsoft.com/office/drawing/2014/main" id="{00000000-0008-0000-0100-0000722C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6050227" y="11157745"/>
          <a:ext cx="6996642" cy="3468687"/>
        </a:xfrm>
        <a:prstGeom prst="rect">
          <a:avLst/>
        </a:prstGeom>
        <a:noFill/>
        <a:ln w="9525">
          <a:noFill/>
          <a:miter lim="800000"/>
          <a:headEnd/>
          <a:tailEnd/>
        </a:ln>
      </xdr:spPr>
    </xdr:pic>
    <xdr:clientData/>
  </xdr:twoCellAnchor>
  <xdr:twoCellAnchor editAs="oneCell">
    <xdr:from>
      <xdr:col>10</xdr:col>
      <xdr:colOff>234259</xdr:colOff>
      <xdr:row>85</xdr:row>
      <xdr:rowOff>87943</xdr:rowOff>
    </xdr:from>
    <xdr:to>
      <xdr:col>22</xdr:col>
      <xdr:colOff>578150</xdr:colOff>
      <xdr:row>103</xdr:row>
      <xdr:rowOff>202407</xdr:rowOff>
    </xdr:to>
    <xdr:pic>
      <xdr:nvPicPr>
        <xdr:cNvPr id="29" name="Picture 21">
          <a:extLst>
            <a:ext uri="{FF2B5EF4-FFF2-40B4-BE49-F238E27FC236}">
              <a16:creationId xmlns:a16="http://schemas.microsoft.com/office/drawing/2014/main" id="{00000000-0008-0000-0100-00001D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blip>
        <a:stretch>
          <a:fillRect/>
        </a:stretch>
      </xdr:blipFill>
      <xdr:spPr bwMode="auto">
        <a:xfrm>
          <a:off x="6306447" y="15768474"/>
          <a:ext cx="7630516" cy="3114839"/>
        </a:xfrm>
        <a:prstGeom prst="rect">
          <a:avLst/>
        </a:prstGeom>
        <a:solidFill>
          <a:srgbClr val="FFFFFF">
            <a:shade val="85000"/>
          </a:srgbClr>
        </a:solidFill>
        <a:ln w="88900" cap="sq">
          <a:solidFill>
            <a:srgbClr val="FFFFFF"/>
          </a:solidFill>
          <a:miter lim="800000"/>
        </a:ln>
        <a:effectLst>
          <a:outerShdw blurRad="55000" dist="18000" dir="5400000" algn="tl" rotWithShape="0">
            <a:srgbClr val="000000">
              <a:alpha val="40000"/>
            </a:srgbClr>
          </a:outerShdw>
        </a:effectLst>
        <a:scene3d>
          <a:camera prst="orthographicFront"/>
          <a:lightRig rig="twoPt" dir="t">
            <a:rot lat="0" lon="0" rev="7200000"/>
          </a:lightRig>
        </a:scene3d>
        <a:sp3d>
          <a:bevelT w="25400" h="19050"/>
          <a:contourClr>
            <a:srgbClr val="FFFFFF"/>
          </a:contourClr>
        </a:sp3d>
      </xdr:spPr>
    </xdr:pic>
    <xdr:clientData/>
  </xdr:twoCellAnchor>
  <xdr:twoCellAnchor>
    <xdr:from>
      <xdr:col>0</xdr:col>
      <xdr:colOff>319087</xdr:colOff>
      <xdr:row>6</xdr:row>
      <xdr:rowOff>148698</xdr:rowOff>
    </xdr:from>
    <xdr:to>
      <xdr:col>6</xdr:col>
      <xdr:colOff>500062</xdr:colOff>
      <xdr:row>29</xdr:row>
      <xdr:rowOff>109803</xdr:rowOff>
    </xdr:to>
    <xdr:pic>
      <xdr:nvPicPr>
        <xdr:cNvPr id="11380" name="Picture 1">
          <a:extLst>
            <a:ext uri="{FF2B5EF4-FFF2-40B4-BE49-F238E27FC236}">
              <a16:creationId xmlns:a16="http://schemas.microsoft.com/office/drawing/2014/main" id="{00000000-0008-0000-0100-0000742C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319087" y="1327417"/>
          <a:ext cx="3824288" cy="3794917"/>
        </a:xfrm>
        <a:prstGeom prst="rect">
          <a:avLst/>
        </a:prstGeom>
        <a:noFill/>
        <a:ln w="9525">
          <a:noFill/>
          <a:miter lim="800000"/>
          <a:headEnd/>
          <a:tailEnd/>
        </a:ln>
      </xdr:spPr>
    </xdr:pic>
    <xdr:clientData/>
  </xdr:twoCellAnchor>
  <xdr:twoCellAnchor>
    <xdr:from>
      <xdr:col>11</xdr:col>
      <xdr:colOff>171450</xdr:colOff>
      <xdr:row>6</xdr:row>
      <xdr:rowOff>85460</xdr:rowOff>
    </xdr:from>
    <xdr:to>
      <xdr:col>17</xdr:col>
      <xdr:colOff>180975</xdr:colOff>
      <xdr:row>31</xdr:row>
      <xdr:rowOff>92869</xdr:rowOff>
    </xdr:to>
    <xdr:pic>
      <xdr:nvPicPr>
        <xdr:cNvPr id="11381" name="Picture 2">
          <a:extLst>
            <a:ext uri="{FF2B5EF4-FFF2-40B4-BE49-F238E27FC236}">
              <a16:creationId xmlns:a16="http://schemas.microsoft.com/office/drawing/2014/main" id="{00000000-0008-0000-0100-0000752C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6850856" y="1264179"/>
          <a:ext cx="3652838" cy="4174596"/>
        </a:xfrm>
        <a:prstGeom prst="rect">
          <a:avLst/>
        </a:prstGeom>
        <a:noFill/>
        <a:ln w="9525">
          <a:noFill/>
          <a:miter lim="800000"/>
          <a:headEnd/>
          <a:tailEnd/>
        </a:ln>
      </xdr:spPr>
    </xdr:pic>
    <xdr:clientData/>
  </xdr:twoCellAnchor>
  <xdr:twoCellAnchor editAs="oneCell">
    <xdr:from>
      <xdr:col>0</xdr:col>
      <xdr:colOff>0</xdr:colOff>
      <xdr:row>60</xdr:row>
      <xdr:rowOff>19844</xdr:rowOff>
    </xdr:from>
    <xdr:to>
      <xdr:col>9</xdr:col>
      <xdr:colOff>533400</xdr:colOff>
      <xdr:row>80</xdr:row>
      <xdr:rowOff>143669</xdr:rowOff>
    </xdr:to>
    <xdr:pic>
      <xdr:nvPicPr>
        <xdr:cNvPr id="11382" name="Picture 13">
          <a:extLst>
            <a:ext uri="{FF2B5EF4-FFF2-40B4-BE49-F238E27FC236}">
              <a16:creationId xmlns:a16="http://schemas.microsoft.com/office/drawing/2014/main" id="{00000000-0008-0000-0100-0000762C0000}"/>
            </a:ext>
          </a:extLst>
        </xdr:cNvPr>
        <xdr:cNvPicPr>
          <a:picLocks noChangeAspect="1" noChangeArrowheads="1"/>
        </xdr:cNvPicPr>
      </xdr:nvPicPr>
      <xdr:blipFill>
        <a:blip xmlns:r="http://schemas.openxmlformats.org/officeDocument/2006/relationships" r:embed="rId5" cstate="print"/>
        <a:srcRect/>
        <a:stretch>
          <a:fillRect/>
        </a:stretch>
      </xdr:blipFill>
      <xdr:spPr bwMode="auto">
        <a:xfrm>
          <a:off x="0" y="11080750"/>
          <a:ext cx="5998369" cy="3457575"/>
        </a:xfrm>
        <a:prstGeom prst="rect">
          <a:avLst/>
        </a:prstGeom>
        <a:noFill/>
        <a:ln w="9525">
          <a:noFill/>
          <a:miter lim="800000"/>
          <a:headEnd/>
          <a:tailEnd/>
        </a:ln>
      </xdr:spPr>
    </xdr:pic>
    <xdr:clientData/>
  </xdr:twoCellAnchor>
  <xdr:twoCellAnchor editAs="oneCell">
    <xdr:from>
      <xdr:col>0</xdr:col>
      <xdr:colOff>0</xdr:colOff>
      <xdr:row>32</xdr:row>
      <xdr:rowOff>567795</xdr:rowOff>
    </xdr:from>
    <xdr:to>
      <xdr:col>9</xdr:col>
      <xdr:colOff>466725</xdr:colOff>
      <xdr:row>55</xdr:row>
      <xdr:rowOff>66675</xdr:rowOff>
    </xdr:to>
    <xdr:pic>
      <xdr:nvPicPr>
        <xdr:cNvPr id="11383" name="Picture 15">
          <a:extLst>
            <a:ext uri="{FF2B5EF4-FFF2-40B4-BE49-F238E27FC236}">
              <a16:creationId xmlns:a16="http://schemas.microsoft.com/office/drawing/2014/main" id="{00000000-0008-0000-0100-0000772C0000}"/>
            </a:ext>
          </a:extLst>
        </xdr:cNvPr>
        <xdr:cNvPicPr>
          <a:picLocks noChangeAspect="1" noChangeArrowheads="1"/>
        </xdr:cNvPicPr>
      </xdr:nvPicPr>
      <xdr:blipFill>
        <a:blip xmlns:r="http://schemas.openxmlformats.org/officeDocument/2006/relationships" r:embed="rId6" cstate="print"/>
        <a:srcRect/>
        <a:stretch>
          <a:fillRect/>
        </a:stretch>
      </xdr:blipFill>
      <xdr:spPr bwMode="auto">
        <a:xfrm>
          <a:off x="0" y="6080389"/>
          <a:ext cx="5931694" cy="3808942"/>
        </a:xfrm>
        <a:prstGeom prst="rect">
          <a:avLst/>
        </a:prstGeom>
        <a:noFill/>
        <a:ln w="9525">
          <a:noFill/>
          <a:miter lim="800000"/>
          <a:headEnd/>
          <a:tailEnd/>
        </a:ln>
      </xdr:spPr>
    </xdr:pic>
    <xdr:clientData/>
  </xdr:twoCellAnchor>
  <xdr:twoCellAnchor editAs="oneCell">
    <xdr:from>
      <xdr:col>10</xdr:col>
      <xdr:colOff>175683</xdr:colOff>
      <xdr:row>33</xdr:row>
      <xdr:rowOff>1852</xdr:rowOff>
    </xdr:from>
    <xdr:to>
      <xdr:col>20</xdr:col>
      <xdr:colOff>573352</xdr:colOff>
      <xdr:row>55</xdr:row>
      <xdr:rowOff>124619</xdr:rowOff>
    </xdr:to>
    <xdr:pic>
      <xdr:nvPicPr>
        <xdr:cNvPr id="11384" name="Picture 17">
          <a:extLst>
            <a:ext uri="{FF2B5EF4-FFF2-40B4-BE49-F238E27FC236}">
              <a16:creationId xmlns:a16="http://schemas.microsoft.com/office/drawing/2014/main" id="{00000000-0008-0000-0100-0000782C0000}"/>
            </a:ext>
          </a:extLst>
        </xdr:cNvPr>
        <xdr:cNvPicPr>
          <a:picLocks noChangeAspect="1" noChangeArrowheads="1"/>
        </xdr:cNvPicPr>
      </xdr:nvPicPr>
      <xdr:blipFill>
        <a:blip xmlns:r="http://schemas.openxmlformats.org/officeDocument/2006/relationships" r:embed="rId7" cstate="print"/>
        <a:srcRect/>
        <a:stretch>
          <a:fillRect/>
        </a:stretch>
      </xdr:blipFill>
      <xdr:spPr bwMode="auto">
        <a:xfrm>
          <a:off x="6247871" y="6157383"/>
          <a:ext cx="6469856" cy="3789892"/>
        </a:xfrm>
        <a:prstGeom prst="rect">
          <a:avLst/>
        </a:prstGeom>
        <a:noFill/>
        <a:ln w="9525">
          <a:noFill/>
          <a:miter lim="800000"/>
          <a:headEnd/>
          <a:tailEnd/>
        </a:ln>
      </xdr:spPr>
    </xdr:pic>
    <xdr:clientData/>
  </xdr:twoCellAnchor>
  <xdr:twoCellAnchor editAs="oneCell">
    <xdr:from>
      <xdr:col>0</xdr:col>
      <xdr:colOff>0</xdr:colOff>
      <xdr:row>86</xdr:row>
      <xdr:rowOff>6086</xdr:rowOff>
    </xdr:from>
    <xdr:to>
      <xdr:col>10</xdr:col>
      <xdr:colOff>95250</xdr:colOff>
      <xdr:row>103</xdr:row>
      <xdr:rowOff>180182</xdr:rowOff>
    </xdr:to>
    <xdr:pic>
      <xdr:nvPicPr>
        <xdr:cNvPr id="11385" name="Picture 23">
          <a:extLst>
            <a:ext uri="{FF2B5EF4-FFF2-40B4-BE49-F238E27FC236}">
              <a16:creationId xmlns:a16="http://schemas.microsoft.com/office/drawing/2014/main" id="{00000000-0008-0000-0100-0000792C0000}"/>
            </a:ext>
          </a:extLst>
        </xdr:cNvPr>
        <xdr:cNvPicPr>
          <a:picLocks noChangeAspect="1" noChangeArrowheads="1"/>
        </xdr:cNvPicPr>
      </xdr:nvPicPr>
      <xdr:blipFill>
        <a:blip xmlns:r="http://schemas.openxmlformats.org/officeDocument/2006/relationships" r:embed="rId8" cstate="print"/>
        <a:srcRect/>
        <a:stretch>
          <a:fillRect/>
        </a:stretch>
      </xdr:blipFill>
      <xdr:spPr bwMode="auto">
        <a:xfrm>
          <a:off x="0" y="15853305"/>
          <a:ext cx="6167438" cy="3007783"/>
        </a:xfrm>
        <a:prstGeom prst="rect">
          <a:avLst/>
        </a:prstGeom>
        <a:noFill/>
        <a:ln w="9525">
          <a:noFill/>
          <a:miter lim="800000"/>
          <a:headEnd/>
          <a:tailEnd/>
        </a:ln>
      </xdr:spPr>
    </xdr:pic>
    <xdr:clientData/>
  </xdr:twoCellAnchor>
  <xdr:twoCellAnchor>
    <xdr:from>
      <xdr:col>1</xdr:col>
      <xdr:colOff>419100</xdr:colOff>
      <xdr:row>46</xdr:row>
      <xdr:rowOff>28575</xdr:rowOff>
    </xdr:from>
    <xdr:to>
      <xdr:col>2</xdr:col>
      <xdr:colOff>19050</xdr:colOff>
      <xdr:row>50</xdr:row>
      <xdr:rowOff>28575</xdr:rowOff>
    </xdr:to>
    <xdr:cxnSp macro="">
      <xdr:nvCxnSpPr>
        <xdr:cNvPr id="8" name="Straight Arrow Connector 7">
          <a:extLst>
            <a:ext uri="{FF2B5EF4-FFF2-40B4-BE49-F238E27FC236}">
              <a16:creationId xmlns:a16="http://schemas.microsoft.com/office/drawing/2014/main" id="{00000000-0008-0000-0100-000008000000}"/>
            </a:ext>
          </a:extLst>
        </xdr:cNvPr>
        <xdr:cNvCxnSpPr/>
      </xdr:nvCxnSpPr>
      <xdr:spPr bwMode="auto">
        <a:xfrm rot="16200000" flipV="1">
          <a:off x="809625" y="8334375"/>
          <a:ext cx="647700" cy="209550"/>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11</xdr:col>
      <xdr:colOff>409575</xdr:colOff>
      <xdr:row>44</xdr:row>
      <xdr:rowOff>152400</xdr:rowOff>
    </xdr:from>
    <xdr:to>
      <xdr:col>12</xdr:col>
      <xdr:colOff>9525</xdr:colOff>
      <xdr:row>48</xdr:row>
      <xdr:rowOff>152400</xdr:rowOff>
    </xdr:to>
    <xdr:cxnSp macro="">
      <xdr:nvCxnSpPr>
        <xdr:cNvPr id="9" name="Straight Arrow Connector 8">
          <a:extLst>
            <a:ext uri="{FF2B5EF4-FFF2-40B4-BE49-F238E27FC236}">
              <a16:creationId xmlns:a16="http://schemas.microsoft.com/office/drawing/2014/main" id="{00000000-0008-0000-0100-000009000000}"/>
            </a:ext>
          </a:extLst>
        </xdr:cNvPr>
        <xdr:cNvCxnSpPr/>
      </xdr:nvCxnSpPr>
      <xdr:spPr bwMode="auto">
        <a:xfrm rot="16200000" flipV="1">
          <a:off x="6896100" y="8134350"/>
          <a:ext cx="647700" cy="209550"/>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2</xdr:col>
      <xdr:colOff>0</xdr:colOff>
      <xdr:row>71</xdr:row>
      <xdr:rowOff>44450</xdr:rowOff>
    </xdr:from>
    <xdr:to>
      <xdr:col>2</xdr:col>
      <xdr:colOff>209550</xdr:colOff>
      <xdr:row>75</xdr:row>
      <xdr:rowOff>44450</xdr:rowOff>
    </xdr:to>
    <xdr:cxnSp macro="">
      <xdr:nvCxnSpPr>
        <xdr:cNvPr id="10" name="Straight Arrow Connector 9">
          <a:extLst>
            <a:ext uri="{FF2B5EF4-FFF2-40B4-BE49-F238E27FC236}">
              <a16:creationId xmlns:a16="http://schemas.microsoft.com/office/drawing/2014/main" id="{00000000-0008-0000-0100-00000A000000}"/>
            </a:ext>
          </a:extLst>
        </xdr:cNvPr>
        <xdr:cNvCxnSpPr/>
      </xdr:nvCxnSpPr>
      <xdr:spPr bwMode="auto">
        <a:xfrm rot="16200000" flipV="1">
          <a:off x="985838" y="13167519"/>
          <a:ext cx="666750" cy="209550"/>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11</xdr:col>
      <xdr:colOff>185614</xdr:colOff>
      <xdr:row>72</xdr:row>
      <xdr:rowOff>122297</xdr:rowOff>
    </xdr:from>
    <xdr:to>
      <xdr:col>11</xdr:col>
      <xdr:colOff>396141</xdr:colOff>
      <xdr:row>76</xdr:row>
      <xdr:rowOff>122297</xdr:rowOff>
    </xdr:to>
    <xdr:cxnSp macro="">
      <xdr:nvCxnSpPr>
        <xdr:cNvPr id="11" name="Straight Arrow Connector 10">
          <a:extLst>
            <a:ext uri="{FF2B5EF4-FFF2-40B4-BE49-F238E27FC236}">
              <a16:creationId xmlns:a16="http://schemas.microsoft.com/office/drawing/2014/main" id="{00000000-0008-0000-0100-00000B000000}"/>
            </a:ext>
          </a:extLst>
        </xdr:cNvPr>
        <xdr:cNvCxnSpPr/>
      </xdr:nvCxnSpPr>
      <xdr:spPr bwMode="auto">
        <a:xfrm rot="16200000" flipV="1">
          <a:off x="6636909" y="13411564"/>
          <a:ext cx="666750" cy="210527"/>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xdr:col>
      <xdr:colOff>323851</xdr:colOff>
      <xdr:row>95</xdr:row>
      <xdr:rowOff>96045</xdr:rowOff>
    </xdr:from>
    <xdr:to>
      <xdr:col>1</xdr:col>
      <xdr:colOff>531020</xdr:colOff>
      <xdr:row>99</xdr:row>
      <xdr:rowOff>96045</xdr:rowOff>
    </xdr:to>
    <xdr:cxnSp macro="">
      <xdr:nvCxnSpPr>
        <xdr:cNvPr id="12" name="Straight Arrow Connector 11">
          <a:extLst>
            <a:ext uri="{FF2B5EF4-FFF2-40B4-BE49-F238E27FC236}">
              <a16:creationId xmlns:a16="http://schemas.microsoft.com/office/drawing/2014/main" id="{00000000-0008-0000-0100-00000C000000}"/>
            </a:ext>
          </a:extLst>
        </xdr:cNvPr>
        <xdr:cNvCxnSpPr/>
      </xdr:nvCxnSpPr>
      <xdr:spPr bwMode="auto">
        <a:xfrm rot="16200000" flipV="1">
          <a:off x="701280" y="17673241"/>
          <a:ext cx="666750" cy="207169"/>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11</xdr:col>
      <xdr:colOff>383016</xdr:colOff>
      <xdr:row>95</xdr:row>
      <xdr:rowOff>76142</xdr:rowOff>
    </xdr:from>
    <xdr:to>
      <xdr:col>11</xdr:col>
      <xdr:colOff>596799</xdr:colOff>
      <xdr:row>99</xdr:row>
      <xdr:rowOff>76142</xdr:rowOff>
    </xdr:to>
    <xdr:cxnSp macro="">
      <xdr:nvCxnSpPr>
        <xdr:cNvPr id="13" name="Straight Arrow Connector 12">
          <a:extLst>
            <a:ext uri="{FF2B5EF4-FFF2-40B4-BE49-F238E27FC236}">
              <a16:creationId xmlns:a16="http://schemas.microsoft.com/office/drawing/2014/main" id="{00000000-0008-0000-0100-00000D000000}"/>
            </a:ext>
          </a:extLst>
        </xdr:cNvPr>
        <xdr:cNvCxnSpPr/>
      </xdr:nvCxnSpPr>
      <xdr:spPr bwMode="auto">
        <a:xfrm rot="16200000" flipV="1">
          <a:off x="6835939" y="17650031"/>
          <a:ext cx="666750" cy="213783"/>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xdr:col>
      <xdr:colOff>257175</xdr:colOff>
      <xdr:row>8</xdr:row>
      <xdr:rowOff>85725</xdr:rowOff>
    </xdr:from>
    <xdr:to>
      <xdr:col>1</xdr:col>
      <xdr:colOff>466725</xdr:colOff>
      <xdr:row>12</xdr:row>
      <xdr:rowOff>85725</xdr:rowOff>
    </xdr:to>
    <xdr:cxnSp macro="">
      <xdr:nvCxnSpPr>
        <xdr:cNvPr id="14" name="Straight Arrow Connector 13">
          <a:extLst>
            <a:ext uri="{FF2B5EF4-FFF2-40B4-BE49-F238E27FC236}">
              <a16:creationId xmlns:a16="http://schemas.microsoft.com/office/drawing/2014/main" id="{00000000-0008-0000-0100-00000E000000}"/>
            </a:ext>
          </a:extLst>
        </xdr:cNvPr>
        <xdr:cNvCxnSpPr/>
      </xdr:nvCxnSpPr>
      <xdr:spPr bwMode="auto">
        <a:xfrm rot="16200000" flipV="1">
          <a:off x="647700" y="1809750"/>
          <a:ext cx="647700" cy="209550"/>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12</xdr:col>
      <xdr:colOff>76200</xdr:colOff>
      <xdr:row>8</xdr:row>
      <xdr:rowOff>140493</xdr:rowOff>
    </xdr:from>
    <xdr:to>
      <xdr:col>12</xdr:col>
      <xdr:colOff>285750</xdr:colOff>
      <xdr:row>12</xdr:row>
      <xdr:rowOff>140493</xdr:rowOff>
    </xdr:to>
    <xdr:cxnSp macro="">
      <xdr:nvCxnSpPr>
        <xdr:cNvPr id="15" name="Straight Arrow Connector 14">
          <a:extLst>
            <a:ext uri="{FF2B5EF4-FFF2-40B4-BE49-F238E27FC236}">
              <a16:creationId xmlns:a16="http://schemas.microsoft.com/office/drawing/2014/main" id="{00000000-0008-0000-0100-00000F000000}"/>
            </a:ext>
          </a:extLst>
        </xdr:cNvPr>
        <xdr:cNvCxnSpPr/>
      </xdr:nvCxnSpPr>
      <xdr:spPr bwMode="auto">
        <a:xfrm rot="16200000" flipV="1">
          <a:off x="7134225" y="1881187"/>
          <a:ext cx="666750" cy="209550"/>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4</xdr:col>
      <xdr:colOff>66676</xdr:colOff>
      <xdr:row>23</xdr:row>
      <xdr:rowOff>142878</xdr:rowOff>
    </xdr:from>
    <xdr:to>
      <xdr:col>4</xdr:col>
      <xdr:colOff>400050</xdr:colOff>
      <xdr:row>27</xdr:row>
      <xdr:rowOff>152402</xdr:rowOff>
    </xdr:to>
    <xdr:cxnSp macro="">
      <xdr:nvCxnSpPr>
        <xdr:cNvPr id="16" name="Straight Arrow Connector 15">
          <a:extLst>
            <a:ext uri="{FF2B5EF4-FFF2-40B4-BE49-F238E27FC236}">
              <a16:creationId xmlns:a16="http://schemas.microsoft.com/office/drawing/2014/main" id="{00000000-0008-0000-0100-000010000000}"/>
            </a:ext>
          </a:extLst>
        </xdr:cNvPr>
        <xdr:cNvCxnSpPr/>
      </xdr:nvCxnSpPr>
      <xdr:spPr bwMode="auto">
        <a:xfrm rot="5400000">
          <a:off x="2343151" y="4238628"/>
          <a:ext cx="657224" cy="333374"/>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15</xdr:col>
      <xdr:colOff>342900</xdr:colOff>
      <xdr:row>22</xdr:row>
      <xdr:rowOff>95250</xdr:rowOff>
    </xdr:from>
    <xdr:to>
      <xdr:col>16</xdr:col>
      <xdr:colOff>66674</xdr:colOff>
      <xdr:row>26</xdr:row>
      <xdr:rowOff>104774</xdr:rowOff>
    </xdr:to>
    <xdr:cxnSp macro="">
      <xdr:nvCxnSpPr>
        <xdr:cNvPr id="17" name="Straight Arrow Connector 16">
          <a:extLst>
            <a:ext uri="{FF2B5EF4-FFF2-40B4-BE49-F238E27FC236}">
              <a16:creationId xmlns:a16="http://schemas.microsoft.com/office/drawing/2014/main" id="{00000000-0008-0000-0100-000011000000}"/>
            </a:ext>
          </a:extLst>
        </xdr:cNvPr>
        <xdr:cNvCxnSpPr/>
      </xdr:nvCxnSpPr>
      <xdr:spPr bwMode="auto">
        <a:xfrm rot="5400000">
          <a:off x="9324975" y="4029075"/>
          <a:ext cx="657224" cy="333374"/>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3</xdr:col>
      <xdr:colOff>390525</xdr:colOff>
      <xdr:row>64</xdr:row>
      <xdr:rowOff>152403</xdr:rowOff>
    </xdr:from>
    <xdr:to>
      <xdr:col>4</xdr:col>
      <xdr:colOff>110066</xdr:colOff>
      <xdr:row>68</xdr:row>
      <xdr:rowOff>146052</xdr:rowOff>
    </xdr:to>
    <xdr:cxnSp macro="">
      <xdr:nvCxnSpPr>
        <xdr:cNvPr id="18" name="Straight Arrow Connector 17">
          <a:extLst>
            <a:ext uri="{FF2B5EF4-FFF2-40B4-BE49-F238E27FC236}">
              <a16:creationId xmlns:a16="http://schemas.microsoft.com/office/drawing/2014/main" id="{00000000-0008-0000-0100-000012000000}"/>
            </a:ext>
          </a:extLst>
        </xdr:cNvPr>
        <xdr:cNvCxnSpPr/>
      </xdr:nvCxnSpPr>
      <xdr:spPr bwMode="auto">
        <a:xfrm rot="5400000">
          <a:off x="2045361" y="12046879"/>
          <a:ext cx="660399" cy="326760"/>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12</xdr:col>
      <xdr:colOff>373002</xdr:colOff>
      <xdr:row>66</xdr:row>
      <xdr:rowOff>26441</xdr:rowOff>
    </xdr:from>
    <xdr:to>
      <xdr:col>13</xdr:col>
      <xdr:colOff>100134</xdr:colOff>
      <xdr:row>70</xdr:row>
      <xdr:rowOff>12152</xdr:rowOff>
    </xdr:to>
    <xdr:cxnSp macro="">
      <xdr:nvCxnSpPr>
        <xdr:cNvPr id="19" name="Straight Arrow Connector 18">
          <a:extLst>
            <a:ext uri="{FF2B5EF4-FFF2-40B4-BE49-F238E27FC236}">
              <a16:creationId xmlns:a16="http://schemas.microsoft.com/office/drawing/2014/main" id="{00000000-0008-0000-0100-000013000000}"/>
            </a:ext>
          </a:extLst>
        </xdr:cNvPr>
        <xdr:cNvCxnSpPr/>
      </xdr:nvCxnSpPr>
      <xdr:spPr bwMode="auto">
        <a:xfrm rot="5400000">
          <a:off x="7500572" y="12246527"/>
          <a:ext cx="652461" cy="334351"/>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3</xdr:col>
      <xdr:colOff>319619</xdr:colOff>
      <xdr:row>90</xdr:row>
      <xdr:rowOff>70381</xdr:rowOff>
    </xdr:from>
    <xdr:to>
      <xdr:col>4</xdr:col>
      <xdr:colOff>50007</xdr:colOff>
      <xdr:row>94</xdr:row>
      <xdr:rowOff>42863</xdr:rowOff>
    </xdr:to>
    <xdr:cxnSp macro="">
      <xdr:nvCxnSpPr>
        <xdr:cNvPr id="20" name="Straight Arrow Connector 19">
          <a:extLst>
            <a:ext uri="{FF2B5EF4-FFF2-40B4-BE49-F238E27FC236}">
              <a16:creationId xmlns:a16="http://schemas.microsoft.com/office/drawing/2014/main" id="{00000000-0008-0000-0100-000014000000}"/>
            </a:ext>
          </a:extLst>
        </xdr:cNvPr>
        <xdr:cNvCxnSpPr/>
      </xdr:nvCxnSpPr>
      <xdr:spPr bwMode="auto">
        <a:xfrm rot="5400000">
          <a:off x="1990463" y="16735162"/>
          <a:ext cx="639232" cy="337607"/>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13</xdr:col>
      <xdr:colOff>198659</xdr:colOff>
      <xdr:row>90</xdr:row>
      <xdr:rowOff>99437</xdr:rowOff>
    </xdr:from>
    <xdr:to>
      <xdr:col>13</xdr:col>
      <xdr:colOff>532033</xdr:colOff>
      <xdr:row>94</xdr:row>
      <xdr:rowOff>85148</xdr:rowOff>
    </xdr:to>
    <xdr:cxnSp macro="">
      <xdr:nvCxnSpPr>
        <xdr:cNvPr id="21" name="Straight Arrow Connector 20">
          <a:extLst>
            <a:ext uri="{FF2B5EF4-FFF2-40B4-BE49-F238E27FC236}">
              <a16:creationId xmlns:a16="http://schemas.microsoft.com/office/drawing/2014/main" id="{00000000-0008-0000-0100-000015000000}"/>
            </a:ext>
          </a:extLst>
        </xdr:cNvPr>
        <xdr:cNvCxnSpPr/>
      </xdr:nvCxnSpPr>
      <xdr:spPr bwMode="auto">
        <a:xfrm rot="5400000">
          <a:off x="7932959" y="16772950"/>
          <a:ext cx="652461" cy="333374"/>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8</xdr:col>
      <xdr:colOff>290559</xdr:colOff>
      <xdr:row>46</xdr:row>
      <xdr:rowOff>12000</xdr:rowOff>
    </xdr:from>
    <xdr:to>
      <xdr:col>8</xdr:col>
      <xdr:colOff>292147</xdr:colOff>
      <xdr:row>49</xdr:row>
      <xdr:rowOff>124059</xdr:rowOff>
    </xdr:to>
    <xdr:cxnSp macro="">
      <xdr:nvCxnSpPr>
        <xdr:cNvPr id="22" name="Straight Arrow Connector 21">
          <a:extLst>
            <a:ext uri="{FF2B5EF4-FFF2-40B4-BE49-F238E27FC236}">
              <a16:creationId xmlns:a16="http://schemas.microsoft.com/office/drawing/2014/main" id="{00000000-0008-0000-0100-000016000000}"/>
            </a:ext>
          </a:extLst>
        </xdr:cNvPr>
        <xdr:cNvCxnSpPr/>
      </xdr:nvCxnSpPr>
      <xdr:spPr bwMode="auto">
        <a:xfrm rot="5400000">
          <a:off x="4869236" y="8396848"/>
          <a:ext cx="597834" cy="1588"/>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19</xdr:col>
      <xdr:colOff>458881</xdr:colOff>
      <xdr:row>43</xdr:row>
      <xdr:rowOff>151840</xdr:rowOff>
    </xdr:from>
    <xdr:to>
      <xdr:col>19</xdr:col>
      <xdr:colOff>460469</xdr:colOff>
      <xdr:row>47</xdr:row>
      <xdr:rowOff>107017</xdr:rowOff>
    </xdr:to>
    <xdr:cxnSp macro="">
      <xdr:nvCxnSpPr>
        <xdr:cNvPr id="23" name="Straight Arrow Connector 22">
          <a:extLst>
            <a:ext uri="{FF2B5EF4-FFF2-40B4-BE49-F238E27FC236}">
              <a16:creationId xmlns:a16="http://schemas.microsoft.com/office/drawing/2014/main" id="{00000000-0008-0000-0100-000017000000}"/>
            </a:ext>
          </a:extLst>
        </xdr:cNvPr>
        <xdr:cNvCxnSpPr/>
      </xdr:nvCxnSpPr>
      <xdr:spPr bwMode="auto">
        <a:xfrm rot="5400000">
          <a:off x="11959711" y="8053435"/>
          <a:ext cx="602877" cy="1588"/>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6</xdr:col>
      <xdr:colOff>51236</xdr:colOff>
      <xdr:row>79</xdr:row>
      <xdr:rowOff>72791</xdr:rowOff>
    </xdr:from>
    <xdr:to>
      <xdr:col>7</xdr:col>
      <xdr:colOff>328892</xdr:colOff>
      <xdr:row>79</xdr:row>
      <xdr:rowOff>74379</xdr:rowOff>
    </xdr:to>
    <xdr:cxnSp macro="">
      <xdr:nvCxnSpPr>
        <xdr:cNvPr id="24" name="Straight Arrow Connector 23">
          <a:extLst>
            <a:ext uri="{FF2B5EF4-FFF2-40B4-BE49-F238E27FC236}">
              <a16:creationId xmlns:a16="http://schemas.microsoft.com/office/drawing/2014/main" id="{00000000-0008-0000-0100-000018000000}"/>
            </a:ext>
          </a:extLst>
        </xdr:cNvPr>
        <xdr:cNvCxnSpPr/>
      </xdr:nvCxnSpPr>
      <xdr:spPr bwMode="auto">
        <a:xfrm>
          <a:off x="3694549" y="14300760"/>
          <a:ext cx="884874" cy="1588"/>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6</xdr:col>
      <xdr:colOff>128589</xdr:colOff>
      <xdr:row>102</xdr:row>
      <xdr:rowOff>126533</xdr:rowOff>
    </xdr:from>
    <xdr:to>
      <xdr:col>7</xdr:col>
      <xdr:colOff>397530</xdr:colOff>
      <xdr:row>102</xdr:row>
      <xdr:rowOff>128121</xdr:rowOff>
    </xdr:to>
    <xdr:cxnSp macro="">
      <xdr:nvCxnSpPr>
        <xdr:cNvPr id="26" name="Straight Arrow Connector 25">
          <a:extLst>
            <a:ext uri="{FF2B5EF4-FFF2-40B4-BE49-F238E27FC236}">
              <a16:creationId xmlns:a16="http://schemas.microsoft.com/office/drawing/2014/main" id="{00000000-0008-0000-0100-00001A000000}"/>
            </a:ext>
          </a:extLst>
        </xdr:cNvPr>
        <xdr:cNvCxnSpPr/>
      </xdr:nvCxnSpPr>
      <xdr:spPr bwMode="auto">
        <a:xfrm>
          <a:off x="3771902" y="18640752"/>
          <a:ext cx="876159" cy="1588"/>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18</xdr:col>
      <xdr:colOff>201094</xdr:colOff>
      <xdr:row>102</xdr:row>
      <xdr:rowOff>144016</xdr:rowOff>
    </xdr:from>
    <xdr:to>
      <xdr:col>19</xdr:col>
      <xdr:colOff>468881</xdr:colOff>
      <xdr:row>102</xdr:row>
      <xdr:rowOff>145604</xdr:rowOff>
    </xdr:to>
    <xdr:cxnSp macro="">
      <xdr:nvCxnSpPr>
        <xdr:cNvPr id="27" name="Straight Arrow Connector 26">
          <a:extLst>
            <a:ext uri="{FF2B5EF4-FFF2-40B4-BE49-F238E27FC236}">
              <a16:creationId xmlns:a16="http://schemas.microsoft.com/office/drawing/2014/main" id="{00000000-0008-0000-0100-00001B000000}"/>
            </a:ext>
          </a:extLst>
        </xdr:cNvPr>
        <xdr:cNvCxnSpPr/>
      </xdr:nvCxnSpPr>
      <xdr:spPr bwMode="auto">
        <a:xfrm>
          <a:off x="11131032" y="18658235"/>
          <a:ext cx="875005" cy="1588"/>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17</xdr:col>
      <xdr:colOff>70462</xdr:colOff>
      <xdr:row>80</xdr:row>
      <xdr:rowOff>78826</xdr:rowOff>
    </xdr:from>
    <xdr:to>
      <xdr:col>18</xdr:col>
      <xdr:colOff>348117</xdr:colOff>
      <xdr:row>80</xdr:row>
      <xdr:rowOff>80414</xdr:rowOff>
    </xdr:to>
    <xdr:cxnSp macro="">
      <xdr:nvCxnSpPr>
        <xdr:cNvPr id="30" name="Straight Arrow Connector 29">
          <a:extLst>
            <a:ext uri="{FF2B5EF4-FFF2-40B4-BE49-F238E27FC236}">
              <a16:creationId xmlns:a16="http://schemas.microsoft.com/office/drawing/2014/main" id="{00000000-0008-0000-0100-00001E000000}"/>
            </a:ext>
          </a:extLst>
        </xdr:cNvPr>
        <xdr:cNvCxnSpPr/>
      </xdr:nvCxnSpPr>
      <xdr:spPr bwMode="auto">
        <a:xfrm>
          <a:off x="10393181" y="14473482"/>
          <a:ext cx="884874" cy="1588"/>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1051560</xdr:colOff>
          <xdr:row>24</xdr:row>
          <xdr:rowOff>0</xdr:rowOff>
        </xdr:from>
        <xdr:to>
          <xdr:col>1</xdr:col>
          <xdr:colOff>1356360</xdr:colOff>
          <xdr:row>25</xdr:row>
          <xdr:rowOff>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3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365760</xdr:colOff>
          <xdr:row>1</xdr:row>
          <xdr:rowOff>198120</xdr:rowOff>
        </xdr:from>
        <xdr:to>
          <xdr:col>9</xdr:col>
          <xdr:colOff>693420</xdr:colOff>
          <xdr:row>1</xdr:row>
          <xdr:rowOff>769620</xdr:rowOff>
        </xdr:to>
        <xdr:sp macro="" textlink="">
          <xdr:nvSpPr>
            <xdr:cNvPr id="8228" name="Button 36" hidden="1">
              <a:extLst>
                <a:ext uri="{63B3BB69-23CF-44E3-9099-C40C66FF867C}">
                  <a14:compatExt spid="_x0000_s8228"/>
                </a:ext>
                <a:ext uri="{FF2B5EF4-FFF2-40B4-BE49-F238E27FC236}">
                  <a16:creationId xmlns:a16="http://schemas.microsoft.com/office/drawing/2014/main" id="{00000000-0008-0000-0300-00002420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sk-SK" sz="1400" b="1" i="0" u="none" strike="noStrike" baseline="0">
                  <a:solidFill>
                    <a:srgbClr val="D20000"/>
                  </a:solidFill>
                  <a:latin typeface="Arial"/>
                  <a:cs typeface="Arial"/>
                </a:rPr>
                <a:t>Zmaž výpočet!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68580</xdr:colOff>
          <xdr:row>38</xdr:row>
          <xdr:rowOff>22860</xdr:rowOff>
        </xdr:from>
        <xdr:to>
          <xdr:col>1</xdr:col>
          <xdr:colOff>373380</xdr:colOff>
          <xdr:row>38</xdr:row>
          <xdr:rowOff>236220</xdr:rowOff>
        </xdr:to>
        <xdr:sp macro="" textlink="">
          <xdr:nvSpPr>
            <xdr:cNvPr id="8230" name="Check Box 38" hidden="1">
              <a:extLst>
                <a:ext uri="{63B3BB69-23CF-44E3-9099-C40C66FF867C}">
                  <a14:compatExt spid="_x0000_s8230"/>
                </a:ext>
                <a:ext uri="{FF2B5EF4-FFF2-40B4-BE49-F238E27FC236}">
                  <a16:creationId xmlns:a16="http://schemas.microsoft.com/office/drawing/2014/main" id="{00000000-0008-0000-0300-00002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0</xdr:col>
      <xdr:colOff>167640</xdr:colOff>
      <xdr:row>1</xdr:row>
      <xdr:rowOff>137160</xdr:rowOff>
    </xdr:from>
    <xdr:to>
      <xdr:col>0</xdr:col>
      <xdr:colOff>1539240</xdr:colOff>
      <xdr:row>1</xdr:row>
      <xdr:rowOff>781050</xdr:rowOff>
    </xdr:to>
    <xdr:pic>
      <xdr:nvPicPr>
        <xdr:cNvPr id="7" name="Picture 6" descr="A picture containing text, clipart, tableware, dishware&#10;&#10;Description automatically generated">
          <a:extLst>
            <a:ext uri="{FF2B5EF4-FFF2-40B4-BE49-F238E27FC236}">
              <a16:creationId xmlns:a16="http://schemas.microsoft.com/office/drawing/2014/main" id="{00000000-0008-0000-0300-000007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7640" y="213360"/>
          <a:ext cx="1363980" cy="6400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405767</xdr:colOff>
      <xdr:row>2</xdr:row>
      <xdr:rowOff>59056</xdr:rowOff>
    </xdr:from>
    <xdr:to>
      <xdr:col>2</xdr:col>
      <xdr:colOff>228600</xdr:colOff>
      <xdr:row>3</xdr:row>
      <xdr:rowOff>468630</xdr:rowOff>
    </xdr:to>
    <xdr:pic>
      <xdr:nvPicPr>
        <xdr:cNvPr id="3" name="Obrázok 3" descr="Obrázok, na ktorom je text, riad, tanier&#10;&#10;Automaticky generovaný popis">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6742" y="306706"/>
          <a:ext cx="1537333" cy="64579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289560</xdr:colOff>
          <xdr:row>0</xdr:row>
          <xdr:rowOff>259080</xdr:rowOff>
        </xdr:from>
        <xdr:to>
          <xdr:col>11</xdr:col>
          <xdr:colOff>266700</xdr:colOff>
          <xdr:row>1</xdr:row>
          <xdr:rowOff>68580</xdr:rowOff>
        </xdr:to>
        <xdr:sp macro="" textlink="">
          <xdr:nvSpPr>
            <xdr:cNvPr id="6163" name="Button 19" hidden="1">
              <a:extLst>
                <a:ext uri="{63B3BB69-23CF-44E3-9099-C40C66FF867C}">
                  <a14:compatExt spid="_x0000_s6163"/>
                </a:ext>
                <a:ext uri="{FF2B5EF4-FFF2-40B4-BE49-F238E27FC236}">
                  <a16:creationId xmlns:a16="http://schemas.microsoft.com/office/drawing/2014/main" id="{00000000-0008-0000-0500-0000131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sk-SK" sz="1600" b="1" i="0" u="none" strike="noStrike" baseline="0">
                  <a:solidFill>
                    <a:srgbClr val="D20000"/>
                  </a:solidFill>
                  <a:latin typeface="Arial"/>
                  <a:cs typeface="Arial"/>
                </a:rPr>
                <a:t>Vymaž údaje !</a:t>
              </a:r>
            </a:p>
          </xdr:txBody>
        </xdr:sp>
        <xdr:clientData fLocksWithSheet="0" fPrintsWithSheet="0"/>
      </xdr:twoCellAnchor>
    </mc:Choice>
    <mc:Fallback/>
  </mc:AlternateContent>
  <xdr:twoCellAnchor editAs="oneCell">
    <xdr:from>
      <xdr:col>1</xdr:col>
      <xdr:colOff>91440</xdr:colOff>
      <xdr:row>0</xdr:row>
      <xdr:rowOff>30480</xdr:rowOff>
    </xdr:from>
    <xdr:to>
      <xdr:col>2</xdr:col>
      <xdr:colOff>1278640</xdr:colOff>
      <xdr:row>0</xdr:row>
      <xdr:rowOff>720854</xdr:rowOff>
    </xdr:to>
    <xdr:pic>
      <xdr:nvPicPr>
        <xdr:cNvPr id="4" name="Obrázok 3" descr="Obrázok, na ktorom je text, riad, tanier&#10;&#10;Automaticky generovaný popis">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6280" y="30480"/>
          <a:ext cx="1621540" cy="69037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54</xdr:col>
          <xdr:colOff>76200</xdr:colOff>
          <xdr:row>6</xdr:row>
          <xdr:rowOff>312420</xdr:rowOff>
        </xdr:from>
        <xdr:to>
          <xdr:col>55</xdr:col>
          <xdr:colOff>601980</xdr:colOff>
          <xdr:row>10</xdr:row>
          <xdr:rowOff>99060</xdr:rowOff>
        </xdr:to>
        <xdr:sp macro="" textlink="">
          <xdr:nvSpPr>
            <xdr:cNvPr id="10244" name="Button 4" hidden="1">
              <a:extLst>
                <a:ext uri="{63B3BB69-23CF-44E3-9099-C40C66FF867C}">
                  <a14:compatExt spid="_x0000_s10244"/>
                </a:ext>
                <a:ext uri="{FF2B5EF4-FFF2-40B4-BE49-F238E27FC236}">
                  <a16:creationId xmlns:a16="http://schemas.microsoft.com/office/drawing/2014/main" id="{00000000-0008-0000-0600-00000428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sk-SK" sz="1400" b="1" i="0" u="none" strike="noStrike" baseline="0">
                  <a:solidFill>
                    <a:srgbClr val="0000FF"/>
                  </a:solidFill>
                  <a:latin typeface="Arial"/>
                  <a:cs typeface="Arial"/>
                </a:rPr>
                <a:t>Vytvor PDF!</a:t>
              </a:r>
            </a:p>
          </xdr:txBody>
        </xdr:sp>
        <xdr:clientData fPrintsWithSheet="0"/>
      </xdr:twoCellAnchor>
    </mc:Choice>
    <mc:Fallback/>
  </mc:AlternateContent>
  <xdr:twoCellAnchor editAs="oneCell">
    <xdr:from>
      <xdr:col>2</xdr:col>
      <xdr:colOff>60960</xdr:colOff>
      <xdr:row>1</xdr:row>
      <xdr:rowOff>129544</xdr:rowOff>
    </xdr:from>
    <xdr:to>
      <xdr:col>14</xdr:col>
      <xdr:colOff>112607</xdr:colOff>
      <xdr:row>5</xdr:row>
      <xdr:rowOff>96018</xdr:rowOff>
    </xdr:to>
    <xdr:pic>
      <xdr:nvPicPr>
        <xdr:cNvPr id="4" name="Obrázok 3" descr="Obrázok, na ktorom je text, riad, tanier&#10;&#10;Automaticky generovaný popis">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9273" y="288294"/>
          <a:ext cx="1592965" cy="69704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30485</xdr:colOff>
      <xdr:row>1</xdr:row>
      <xdr:rowOff>152404</xdr:rowOff>
    </xdr:from>
    <xdr:to>
      <xdr:col>15</xdr:col>
      <xdr:colOff>97545</xdr:colOff>
      <xdr:row>5</xdr:row>
      <xdr:rowOff>136023</xdr:rowOff>
    </xdr:to>
    <xdr:pic>
      <xdr:nvPicPr>
        <xdr:cNvPr id="3" name="Obrázok 3" descr="Obrázok, na ktorom je text, riad, tanier&#10;&#10;Automaticky generovaný popis">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0045" y="327664"/>
          <a:ext cx="1621540" cy="69037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25405</xdr:colOff>
      <xdr:row>1</xdr:row>
      <xdr:rowOff>88904</xdr:rowOff>
    </xdr:from>
    <xdr:to>
      <xdr:col>15</xdr:col>
      <xdr:colOff>122945</xdr:colOff>
      <xdr:row>4</xdr:row>
      <xdr:rowOff>283978</xdr:rowOff>
    </xdr:to>
    <xdr:pic>
      <xdr:nvPicPr>
        <xdr:cNvPr id="3" name="Obrázok 3" descr="Obrázok, na ktorom je text, riad, tanier&#10;&#10;Automaticky generovaný popis">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1155" y="266704"/>
          <a:ext cx="1621540" cy="69037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19050</xdr:colOff>
      <xdr:row>0</xdr:row>
      <xdr:rowOff>139700</xdr:rowOff>
    </xdr:from>
    <xdr:to>
      <xdr:col>14</xdr:col>
      <xdr:colOff>66425</xdr:colOff>
      <xdr:row>4</xdr:row>
      <xdr:rowOff>172849</xdr:rowOff>
    </xdr:to>
    <xdr:pic>
      <xdr:nvPicPr>
        <xdr:cNvPr id="3" name="Obrázok 3" descr="Obrázok, na ktorom je text, riad, tanier&#10;&#10;Automaticky generovaný popis">
          <a:extLst>
            <a:ext uri="{FF2B5EF4-FFF2-40B4-BE49-F238E27FC236}">
              <a16:creationId xmlns:a16="http://schemas.microsoft.com/office/drawing/2014/main" id="{00000000-0008-0000-09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6050" y="139700"/>
          <a:ext cx="1621540" cy="69037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Zivot/URAZ/VYVOJ/Zmeny_2017/Zmeny%202018/PORTAL_(docs_kalka_aINE)/povodne%20dokumenty%20z%20portalu/kalkulacky/Vypoctovy_program/vypoctovy_program_118_D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dzby"/>
      <sheetName val="POMOC"/>
      <sheetName val="vypoctovy_program"/>
      <sheetName val="ponuka"/>
      <sheetName val="vstup"/>
      <sheetName val="pz"/>
      <sheetName val="tabulky_UOD"/>
      <sheetName val="menny_zoznam"/>
      <sheetName val="potvrdenie"/>
      <sheetName val="vyhlasenie"/>
      <sheetName val="formular"/>
    </sheetNames>
    <sheetDataSet>
      <sheetData sheetId="0" refreshError="1"/>
      <sheetData sheetId="1" refreshError="1"/>
      <sheetData sheetId="2" refreshError="1"/>
      <sheetData sheetId="3" refreshError="1"/>
      <sheetData sheetId="4">
        <row r="2">
          <cell r="E2" t="str">
            <v>Chyba!</v>
          </cell>
        </row>
      </sheetData>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file:///C:\Users\Svecova\AppData\Local\Microsoft\Windows\INetCache\AppData\Local\03_Podmienky\skoly_118\OD_odcudzenie.pdf" TargetMode="External"/><Relationship Id="rId2" Type="http://schemas.openxmlformats.org/officeDocument/2006/relationships/hyperlink" Target="file:///C:\Users\Svecova\AppData\Local\Microsoft\Windows\INetCache\AppData\Local\12_NBS_formulare\NBS_formular_118_skoly.pdf" TargetMode="External"/><Relationship Id="rId1" Type="http://schemas.openxmlformats.org/officeDocument/2006/relationships/hyperlink" Target="file:///C:\Users\Svecova\AppData\Local\Microsoft\Windows\INetCache\AppData\Local\03_Podmienky\skoly_118\VPP_UP.pdf" TargetMode="External"/><Relationship Id="rId6" Type="http://schemas.openxmlformats.org/officeDocument/2006/relationships/printerSettings" Target="../printerSettings/printerSettings3.bin"/><Relationship Id="rId5" Type="http://schemas.openxmlformats.org/officeDocument/2006/relationships/hyperlink" Target="file:///C:\Users\Svecova\AppData\Local\Microsoft\Windows\INetCache\AppData\Local\03_Podmienky\skoly_118\OD_uraz_ziaci.pdf" TargetMode="External"/><Relationship Id="rId4" Type="http://schemas.openxmlformats.org/officeDocument/2006/relationships/hyperlink" Target="file:///C:\Users\Svecova\AppData\Local\Microsoft\Windows\INetCache\AppData\Local\03_Podmienky\skoly_118\OD_zodpovednost.pdf"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6.bin"/><Relationship Id="rId5" Type="http://schemas.openxmlformats.org/officeDocument/2006/relationships/comments" Target="../comments2.xml"/><Relationship Id="rId4" Type="http://schemas.openxmlformats.org/officeDocument/2006/relationships/ctrlProp" Target="../ctrlProps/ctrlProp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trlProp" Target="../ctrlProps/ctrlProp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AI108"/>
  <sheetViews>
    <sheetView topLeftCell="A13" zoomScale="80" zoomScaleNormal="80" workbookViewId="0">
      <selection activeCell="N60" sqref="N60"/>
    </sheetView>
  </sheetViews>
  <sheetFormatPr defaultRowHeight="13.2"/>
  <cols>
    <col min="1" max="4" width="9.109375" style="9"/>
    <col min="5" max="5" width="4.6640625" customWidth="1"/>
    <col min="6" max="9" width="9.109375" style="9"/>
    <col min="10" max="10" width="3.33203125" customWidth="1"/>
    <col min="11" max="14" width="9.109375" style="9"/>
    <col min="15" max="15" width="2" customWidth="1"/>
    <col min="16" max="19" width="9.109375" customWidth="1"/>
    <col min="20" max="20" width="2" customWidth="1"/>
    <col min="23" max="23" width="2.5546875" customWidth="1"/>
    <col min="26" max="26" width="2.109375" customWidth="1"/>
  </cols>
  <sheetData>
    <row r="1" spans="1:35">
      <c r="P1">
        <v>0.8</v>
      </c>
    </row>
    <row r="2" spans="1:35" ht="13.8">
      <c r="A2" s="53" t="s">
        <v>68</v>
      </c>
    </row>
    <row r="3" spans="1:35" ht="3" customHeight="1" thickBot="1"/>
    <row r="4" spans="1:35" ht="13.8" thickBot="1">
      <c r="A4" s="442" t="s">
        <v>3</v>
      </c>
      <c r="B4" s="443"/>
      <c r="C4" s="443"/>
      <c r="D4" s="444"/>
      <c r="E4" s="1"/>
      <c r="F4" s="442" t="s">
        <v>4</v>
      </c>
      <c r="G4" s="443"/>
      <c r="H4" s="443"/>
      <c r="I4" s="444"/>
      <c r="J4" s="1"/>
      <c r="K4" s="442" t="s">
        <v>5</v>
      </c>
      <c r="L4" s="443"/>
      <c r="M4" s="443"/>
      <c r="N4" s="444"/>
      <c r="O4" s="1"/>
      <c r="P4" s="442" t="s">
        <v>67</v>
      </c>
      <c r="Q4" s="443"/>
      <c r="R4" s="443"/>
      <c r="S4" s="444"/>
      <c r="T4" s="1"/>
      <c r="U4" s="437" t="s">
        <v>6</v>
      </c>
      <c r="V4" s="439"/>
      <c r="X4" s="437" t="s">
        <v>40</v>
      </c>
      <c r="Y4" s="439"/>
      <c r="Z4" s="349"/>
      <c r="AA4" s="437" t="s">
        <v>321</v>
      </c>
      <c r="AB4" s="438"/>
      <c r="AC4" s="438"/>
      <c r="AD4" s="439"/>
    </row>
    <row r="5" spans="1:35" ht="13.5" customHeight="1" thickBot="1">
      <c r="A5" s="445" t="s">
        <v>7</v>
      </c>
      <c r="B5" s="434" t="s">
        <v>1</v>
      </c>
      <c r="C5" s="435"/>
      <c r="D5" s="436"/>
      <c r="E5" s="2"/>
      <c r="F5" s="445" t="s">
        <v>7</v>
      </c>
      <c r="G5" s="434" t="s">
        <v>1</v>
      </c>
      <c r="H5" s="435"/>
      <c r="I5" s="436"/>
      <c r="J5" s="2"/>
      <c r="K5" s="445" t="s">
        <v>7</v>
      </c>
      <c r="L5" s="434" t="s">
        <v>1</v>
      </c>
      <c r="M5" s="435"/>
      <c r="N5" s="436"/>
      <c r="P5" s="445" t="s">
        <v>7</v>
      </c>
      <c r="Q5" s="434" t="s">
        <v>1</v>
      </c>
      <c r="R5" s="435"/>
      <c r="S5" s="436"/>
      <c r="U5" s="447" t="s">
        <v>7</v>
      </c>
      <c r="V5" s="449" t="s">
        <v>0</v>
      </c>
      <c r="X5" s="447" t="s">
        <v>7</v>
      </c>
      <c r="Y5" s="449" t="s">
        <v>0</v>
      </c>
      <c r="Z5" s="338"/>
      <c r="AA5" s="447" t="s">
        <v>7</v>
      </c>
      <c r="AB5" s="434" t="s">
        <v>1</v>
      </c>
      <c r="AC5" s="435"/>
      <c r="AD5" s="436"/>
    </row>
    <row r="6" spans="1:35" ht="24.6" thickBot="1">
      <c r="A6" s="446"/>
      <c r="B6" s="10" t="s">
        <v>2</v>
      </c>
      <c r="C6" s="10" t="s">
        <v>8</v>
      </c>
      <c r="D6" s="10" t="s">
        <v>9</v>
      </c>
      <c r="E6" s="3"/>
      <c r="F6" s="446"/>
      <c r="G6" s="10" t="s">
        <v>2</v>
      </c>
      <c r="H6" s="10" t="s">
        <v>8</v>
      </c>
      <c r="I6" s="10" t="s">
        <v>9</v>
      </c>
      <c r="J6" s="3"/>
      <c r="K6" s="446"/>
      <c r="L6" s="10" t="s">
        <v>2</v>
      </c>
      <c r="M6" s="10" t="s">
        <v>8</v>
      </c>
      <c r="N6" s="10" t="s">
        <v>9</v>
      </c>
      <c r="P6" s="446"/>
      <c r="Q6" s="10" t="s">
        <v>2</v>
      </c>
      <c r="R6" s="10" t="s">
        <v>8</v>
      </c>
      <c r="S6" s="10" t="s">
        <v>9</v>
      </c>
      <c r="U6" s="448"/>
      <c r="V6" s="450"/>
      <c r="X6" s="448"/>
      <c r="Y6" s="450"/>
      <c r="Z6" s="338"/>
      <c r="AA6" s="451"/>
      <c r="AB6" s="10" t="s">
        <v>2</v>
      </c>
      <c r="AC6" s="10" t="s">
        <v>8</v>
      </c>
      <c r="AD6" s="10" t="s">
        <v>9</v>
      </c>
      <c r="AE6" s="333"/>
      <c r="AF6" s="333"/>
      <c r="AG6" s="351"/>
      <c r="AH6" s="333"/>
      <c r="AI6" s="333"/>
    </row>
    <row r="7" spans="1:35" ht="13.8" thickBot="1">
      <c r="A7" s="11">
        <v>0</v>
      </c>
      <c r="B7" s="10">
        <v>0</v>
      </c>
      <c r="C7" s="20">
        <v>0</v>
      </c>
      <c r="D7" s="20">
        <v>0</v>
      </c>
      <c r="E7" s="21"/>
      <c r="F7" s="11">
        <v>0</v>
      </c>
      <c r="G7" s="279">
        <v>0</v>
      </c>
      <c r="H7" s="280">
        <v>0</v>
      </c>
      <c r="I7" s="280">
        <v>0</v>
      </c>
      <c r="J7" s="21"/>
      <c r="K7" s="11">
        <v>0</v>
      </c>
      <c r="L7" s="10">
        <v>0</v>
      </c>
      <c r="M7" s="20">
        <v>0</v>
      </c>
      <c r="N7" s="20">
        <v>0</v>
      </c>
      <c r="P7" s="11">
        <v>0</v>
      </c>
      <c r="Q7" s="10">
        <v>0</v>
      </c>
      <c r="R7" s="20">
        <v>0</v>
      </c>
      <c r="S7" s="20">
        <v>0</v>
      </c>
      <c r="U7" s="22">
        <v>0</v>
      </c>
      <c r="V7" s="36">
        <v>0</v>
      </c>
      <c r="X7" s="4">
        <v>0</v>
      </c>
      <c r="Y7" s="36">
        <v>0</v>
      </c>
      <c r="Z7" s="335"/>
      <c r="AA7" s="406">
        <v>0</v>
      </c>
      <c r="AB7" s="407">
        <v>0</v>
      </c>
      <c r="AC7" s="406">
        <v>0</v>
      </c>
      <c r="AD7" s="407">
        <v>0</v>
      </c>
      <c r="AE7" s="333"/>
      <c r="AF7" s="333"/>
      <c r="AG7" s="333"/>
      <c r="AH7" s="333"/>
      <c r="AI7" s="333"/>
    </row>
    <row r="8" spans="1:35" ht="13.8" thickBot="1">
      <c r="A8" s="11">
        <v>500</v>
      </c>
      <c r="B8" s="12">
        <v>0.15</v>
      </c>
      <c r="C8" s="13">
        <v>0.18</v>
      </c>
      <c r="D8" s="13">
        <v>0.26250000000000001</v>
      </c>
      <c r="E8" s="6"/>
      <c r="F8" s="4">
        <v>600</v>
      </c>
      <c r="G8" s="7">
        <v>0.06</v>
      </c>
      <c r="H8" s="8">
        <v>7.0000000000000007E-2</v>
      </c>
      <c r="I8" s="8">
        <v>0.11</v>
      </c>
      <c r="J8" s="6"/>
      <c r="K8" s="11">
        <v>300</v>
      </c>
      <c r="L8" s="12">
        <v>0.57999999999999996</v>
      </c>
      <c r="M8" s="13">
        <v>0.69</v>
      </c>
      <c r="N8" s="13">
        <v>1.01</v>
      </c>
      <c r="P8" s="11">
        <v>1</v>
      </c>
      <c r="Q8" s="12">
        <v>0.64000000000000012</v>
      </c>
      <c r="R8" s="13">
        <v>0.76800000000000002</v>
      </c>
      <c r="S8" s="13">
        <v>1.1200000000000001</v>
      </c>
      <c r="U8" s="4">
        <v>200</v>
      </c>
      <c r="V8" s="5">
        <v>0.75</v>
      </c>
      <c r="X8" s="4">
        <v>1000</v>
      </c>
      <c r="Y8" s="5">
        <v>0.25</v>
      </c>
      <c r="Z8" s="336"/>
      <c r="AA8" s="396">
        <v>150</v>
      </c>
      <c r="AB8" s="397">
        <f>AA8*0.006</f>
        <v>0.9</v>
      </c>
      <c r="AC8" s="398">
        <f>ROUND(AB8*1.2,2)</f>
        <v>1.08</v>
      </c>
      <c r="AD8" s="401">
        <f>ROUND(AB8*1.75,2)</f>
        <v>1.58</v>
      </c>
      <c r="AE8" s="333"/>
      <c r="AF8" s="17"/>
      <c r="AG8" s="333"/>
      <c r="AH8" s="333"/>
      <c r="AI8" s="333"/>
    </row>
    <row r="9" spans="1:35" ht="13.8" thickBot="1">
      <c r="A9" s="11">
        <v>1000</v>
      </c>
      <c r="B9" s="14">
        <v>0.3</v>
      </c>
      <c r="C9" s="15">
        <v>0.36</v>
      </c>
      <c r="D9" s="15">
        <v>0.52500000000000002</v>
      </c>
      <c r="E9" s="6"/>
      <c r="F9" s="4">
        <v>700</v>
      </c>
      <c r="G9" s="7">
        <v>7.0000000000000007E-2</v>
      </c>
      <c r="H9" s="8">
        <v>0.08</v>
      </c>
      <c r="I9" s="8">
        <v>0.12</v>
      </c>
      <c r="J9" s="6"/>
      <c r="K9" s="11">
        <v>350</v>
      </c>
      <c r="L9" s="14">
        <v>0.67</v>
      </c>
      <c r="M9" s="15">
        <v>0.81</v>
      </c>
      <c r="N9" s="15">
        <v>1.18</v>
      </c>
      <c r="P9" s="11">
        <v>1.5</v>
      </c>
      <c r="Q9" s="14">
        <v>0.96000000000000019</v>
      </c>
      <c r="R9" s="15">
        <v>1.1519999999999999</v>
      </c>
      <c r="S9" s="15">
        <v>1.6800000000000002</v>
      </c>
      <c r="U9" s="4">
        <v>400</v>
      </c>
      <c r="V9" s="7">
        <v>1.5</v>
      </c>
      <c r="X9" s="4">
        <v>2000</v>
      </c>
      <c r="Y9" s="7">
        <v>0.4</v>
      </c>
      <c r="Z9" s="336"/>
      <c r="AA9" s="391">
        <v>200</v>
      </c>
      <c r="AB9" s="392">
        <f t="shared" ref="AB9:AB11" si="0">AA9*0.006</f>
        <v>1.2</v>
      </c>
      <c r="AC9" s="400">
        <f t="shared" ref="AC9:AC11" si="1">ROUND(AB9*1.2,2)</f>
        <v>1.44</v>
      </c>
      <c r="AD9" s="402">
        <f t="shared" ref="AD9:AD11" si="2">ROUND(AB9*1.75,2)</f>
        <v>2.1</v>
      </c>
      <c r="AE9" s="333"/>
      <c r="AF9" s="17"/>
      <c r="AG9" s="333"/>
      <c r="AH9" s="333"/>
      <c r="AI9" s="333"/>
    </row>
    <row r="10" spans="1:35" ht="13.8" thickBot="1">
      <c r="A10" s="11">
        <v>1500</v>
      </c>
      <c r="B10" s="14">
        <v>0.44999999999999996</v>
      </c>
      <c r="C10" s="15">
        <v>0.53999999999999992</v>
      </c>
      <c r="D10" s="15">
        <v>0.78749999999999998</v>
      </c>
      <c r="E10" s="6"/>
      <c r="F10" s="4">
        <v>800</v>
      </c>
      <c r="G10" s="7">
        <v>0.08</v>
      </c>
      <c r="H10" s="8">
        <v>0.1</v>
      </c>
      <c r="I10" s="8">
        <v>0.14000000000000001</v>
      </c>
      <c r="J10" s="6"/>
      <c r="K10" s="11">
        <v>400</v>
      </c>
      <c r="L10" s="14">
        <v>0.77</v>
      </c>
      <c r="M10" s="15">
        <v>0.92</v>
      </c>
      <c r="N10" s="15">
        <v>1.34</v>
      </c>
      <c r="P10" s="11">
        <v>2</v>
      </c>
      <c r="Q10" s="14">
        <v>1.2800000000000002</v>
      </c>
      <c r="R10" s="15">
        <v>1.536</v>
      </c>
      <c r="S10" s="15">
        <v>2.2400000000000002</v>
      </c>
      <c r="U10" s="4">
        <v>600</v>
      </c>
      <c r="V10" s="7">
        <v>2.25</v>
      </c>
      <c r="X10" s="4">
        <v>3000</v>
      </c>
      <c r="Y10" s="7">
        <v>0.54</v>
      </c>
      <c r="Z10" s="336"/>
      <c r="AA10" s="391">
        <v>250</v>
      </c>
      <c r="AB10" s="392">
        <f t="shared" si="0"/>
        <v>1.5</v>
      </c>
      <c r="AC10" s="400">
        <f t="shared" si="1"/>
        <v>1.8</v>
      </c>
      <c r="AD10" s="402">
        <f t="shared" si="2"/>
        <v>2.63</v>
      </c>
      <c r="AE10" s="333"/>
      <c r="AF10" s="17"/>
      <c r="AG10" s="333"/>
      <c r="AH10" s="333"/>
      <c r="AI10" s="333"/>
    </row>
    <row r="11" spans="1:35" ht="13.8" thickBot="1">
      <c r="A11" s="11">
        <v>2000</v>
      </c>
      <c r="B11" s="14">
        <v>0.6</v>
      </c>
      <c r="C11" s="15">
        <v>0.72</v>
      </c>
      <c r="D11" s="15">
        <v>1.05</v>
      </c>
      <c r="E11" s="6"/>
      <c r="F11" s="4">
        <v>900</v>
      </c>
      <c r="G11" s="7">
        <v>0.09</v>
      </c>
      <c r="H11" s="8">
        <v>0.11</v>
      </c>
      <c r="I11" s="8">
        <v>0.16</v>
      </c>
      <c r="J11" s="6"/>
      <c r="K11" s="11">
        <v>450</v>
      </c>
      <c r="L11" s="14">
        <v>0.86</v>
      </c>
      <c r="M11" s="15">
        <v>1.04</v>
      </c>
      <c r="N11" s="15">
        <v>1.51</v>
      </c>
      <c r="P11" s="11">
        <v>2.5</v>
      </c>
      <c r="Q11" s="14">
        <v>1.6</v>
      </c>
      <c r="R11" s="15">
        <v>1.92</v>
      </c>
      <c r="S11" s="15">
        <v>2.8000000000000007</v>
      </c>
      <c r="U11" s="4">
        <v>800</v>
      </c>
      <c r="V11" s="7">
        <v>3</v>
      </c>
      <c r="X11" s="4">
        <v>4000</v>
      </c>
      <c r="Y11" s="5">
        <v>0.64</v>
      </c>
      <c r="Z11" s="336"/>
      <c r="AA11" s="391">
        <v>300</v>
      </c>
      <c r="AB11" s="392">
        <f t="shared" si="0"/>
        <v>1.8</v>
      </c>
      <c r="AC11" s="399">
        <f t="shared" si="1"/>
        <v>2.16</v>
      </c>
      <c r="AD11" s="403">
        <f t="shared" si="2"/>
        <v>3.15</v>
      </c>
      <c r="AE11" s="333"/>
      <c r="AF11" s="17"/>
      <c r="AG11" s="333"/>
      <c r="AH11" s="333"/>
      <c r="AI11" s="333"/>
    </row>
    <row r="12" spans="1:35" ht="13.8" thickBot="1">
      <c r="A12" s="11">
        <v>2500</v>
      </c>
      <c r="B12" s="14">
        <v>0.74999999999999989</v>
      </c>
      <c r="C12" s="15">
        <v>0.89999999999999991</v>
      </c>
      <c r="D12" s="15">
        <v>1.3125</v>
      </c>
      <c r="E12" s="6"/>
      <c r="F12" s="4">
        <v>1000</v>
      </c>
      <c r="G12" s="7">
        <v>0.1</v>
      </c>
      <c r="H12" s="8">
        <v>0.12</v>
      </c>
      <c r="I12" s="8">
        <v>0.18</v>
      </c>
      <c r="J12" s="6"/>
      <c r="K12" s="11">
        <v>500</v>
      </c>
      <c r="L12" s="14">
        <v>0.96</v>
      </c>
      <c r="M12" s="15">
        <v>1.1499999999999999</v>
      </c>
      <c r="N12" s="15">
        <v>1.68</v>
      </c>
      <c r="P12" s="11">
        <v>3</v>
      </c>
      <c r="Q12" s="14">
        <v>1.9200000000000004</v>
      </c>
      <c r="R12" s="15">
        <v>2.3039999999999998</v>
      </c>
      <c r="S12" s="15">
        <v>3.3600000000000003</v>
      </c>
      <c r="U12" s="4">
        <v>1000</v>
      </c>
      <c r="V12" s="7">
        <v>3.75</v>
      </c>
      <c r="X12" s="4">
        <v>5000</v>
      </c>
      <c r="Y12" s="7">
        <v>0.75</v>
      </c>
      <c r="Z12" s="336"/>
      <c r="AA12" s="393"/>
      <c r="AB12" s="394"/>
      <c r="AC12" s="395"/>
      <c r="AD12" s="395"/>
      <c r="AE12" s="333"/>
      <c r="AF12" s="17"/>
      <c r="AG12" s="333"/>
      <c r="AH12" s="333"/>
      <c r="AI12" s="333"/>
    </row>
    <row r="13" spans="1:35" ht="13.8" thickBot="1">
      <c r="A13" s="11">
        <v>3000</v>
      </c>
      <c r="B13" s="14">
        <v>0.89999999999999991</v>
      </c>
      <c r="C13" s="15">
        <v>1.0799999999999998</v>
      </c>
      <c r="D13" s="15">
        <v>1.575</v>
      </c>
      <c r="E13" s="6"/>
      <c r="F13" s="4">
        <v>1100</v>
      </c>
      <c r="G13" s="7">
        <v>0.11</v>
      </c>
      <c r="H13" s="8">
        <v>0.13</v>
      </c>
      <c r="I13" s="8">
        <v>0.19</v>
      </c>
      <c r="J13" s="6"/>
      <c r="K13" s="11">
        <v>550</v>
      </c>
      <c r="L13" s="14">
        <v>1.06</v>
      </c>
      <c r="M13" s="15">
        <v>1.27</v>
      </c>
      <c r="N13" s="15">
        <v>1.85</v>
      </c>
      <c r="P13" s="346">
        <v>3.5</v>
      </c>
      <c r="Q13" s="8">
        <v>2.2399999999999998</v>
      </c>
      <c r="R13" s="8">
        <v>2.6880000000000002</v>
      </c>
      <c r="S13" s="8">
        <v>3.9200000000000004</v>
      </c>
      <c r="U13" s="4">
        <v>1200</v>
      </c>
      <c r="V13" s="7">
        <v>4.5</v>
      </c>
      <c r="X13" s="4">
        <v>7500</v>
      </c>
      <c r="Y13" s="7">
        <v>1.05</v>
      </c>
      <c r="Z13" s="336"/>
      <c r="AA13" s="17"/>
      <c r="AB13" s="333"/>
      <c r="AC13" s="333"/>
      <c r="AD13" s="333"/>
      <c r="AE13" s="333"/>
      <c r="AF13" s="17"/>
      <c r="AG13" s="333"/>
      <c r="AH13" s="333"/>
      <c r="AI13" s="333"/>
    </row>
    <row r="14" spans="1:35" ht="13.8" thickBot="1">
      <c r="A14" s="11">
        <v>3500</v>
      </c>
      <c r="B14" s="10">
        <v>1.05</v>
      </c>
      <c r="C14" s="20">
        <v>1.26</v>
      </c>
      <c r="D14" s="20">
        <v>1.8374999999999999</v>
      </c>
      <c r="E14" s="6"/>
      <c r="F14" s="4">
        <v>1200</v>
      </c>
      <c r="G14" s="7">
        <v>0.12</v>
      </c>
      <c r="H14" s="8">
        <v>0.14000000000000001</v>
      </c>
      <c r="I14" s="8">
        <v>0.21</v>
      </c>
      <c r="J14" s="6"/>
      <c r="K14" s="11">
        <v>600</v>
      </c>
      <c r="L14" s="14">
        <v>1.1499999999999999</v>
      </c>
      <c r="M14" s="15">
        <v>1.38</v>
      </c>
      <c r="N14" s="15">
        <v>2.02</v>
      </c>
      <c r="P14" s="347">
        <v>4</v>
      </c>
      <c r="Q14" s="8">
        <v>2.5600000000000005</v>
      </c>
      <c r="R14" s="8">
        <v>3.0720000000000001</v>
      </c>
      <c r="S14" s="8">
        <v>4.4799999999999995</v>
      </c>
      <c r="X14" s="4">
        <v>10000</v>
      </c>
      <c r="Y14" s="5">
        <v>1.3</v>
      </c>
      <c r="Z14" s="336"/>
      <c r="AA14" s="17"/>
      <c r="AB14" s="333"/>
      <c r="AC14" s="333"/>
      <c r="AD14" s="333"/>
      <c r="AE14" s="333"/>
      <c r="AF14" s="17"/>
      <c r="AG14" s="333"/>
      <c r="AH14" s="333"/>
      <c r="AI14" s="333"/>
    </row>
    <row r="15" spans="1:35" ht="13.8" thickBot="1">
      <c r="A15" s="11">
        <v>4000</v>
      </c>
      <c r="B15" s="12">
        <v>1.2</v>
      </c>
      <c r="C15" s="13">
        <v>1.44</v>
      </c>
      <c r="D15" s="13">
        <v>2.1</v>
      </c>
      <c r="E15" s="6"/>
      <c r="F15" s="4">
        <v>1300</v>
      </c>
      <c r="G15" s="7">
        <v>0.13</v>
      </c>
      <c r="H15" s="8">
        <v>0.16</v>
      </c>
      <c r="I15" s="8">
        <v>0.23</v>
      </c>
      <c r="J15" s="6"/>
      <c r="K15" s="11">
        <v>650</v>
      </c>
      <c r="L15" s="14">
        <v>1.25</v>
      </c>
      <c r="M15" s="15">
        <v>1.5</v>
      </c>
      <c r="N15" s="15">
        <v>2.1800000000000002</v>
      </c>
      <c r="P15" s="347">
        <v>4.5</v>
      </c>
      <c r="Q15" s="8">
        <v>2.8800000000000003</v>
      </c>
      <c r="R15" s="8">
        <v>3.4560000000000004</v>
      </c>
      <c r="S15" s="8">
        <v>5.04</v>
      </c>
      <c r="X15" s="4">
        <v>20000</v>
      </c>
      <c r="Y15" s="7">
        <v>2</v>
      </c>
      <c r="Z15" s="336"/>
      <c r="AA15" s="17"/>
      <c r="AB15" s="333"/>
      <c r="AC15" s="333"/>
      <c r="AD15" s="333"/>
      <c r="AE15" s="333"/>
      <c r="AF15" s="17"/>
      <c r="AG15" s="333"/>
      <c r="AH15" s="333"/>
      <c r="AI15" s="333"/>
    </row>
    <row r="16" spans="1:35" ht="13.8" thickBot="1">
      <c r="A16" s="11">
        <v>4500</v>
      </c>
      <c r="B16" s="14">
        <v>1.35</v>
      </c>
      <c r="C16" s="15">
        <v>1.62</v>
      </c>
      <c r="D16" s="15">
        <v>2.3624999999999998</v>
      </c>
      <c r="E16" s="6"/>
      <c r="F16" s="4">
        <v>1400</v>
      </c>
      <c r="G16" s="7">
        <v>0.14000000000000001</v>
      </c>
      <c r="H16" s="8">
        <v>0.17</v>
      </c>
      <c r="I16" s="8">
        <v>0.25</v>
      </c>
      <c r="J16" s="6"/>
      <c r="K16" s="11">
        <v>700</v>
      </c>
      <c r="L16" s="14">
        <v>1.34</v>
      </c>
      <c r="M16" s="15">
        <v>1.61</v>
      </c>
      <c r="N16" s="15">
        <v>2.35</v>
      </c>
      <c r="P16" s="347">
        <v>5</v>
      </c>
      <c r="Q16" s="8">
        <v>3.2</v>
      </c>
      <c r="R16" s="8">
        <v>3.84</v>
      </c>
      <c r="S16" s="8">
        <v>5.6000000000000005</v>
      </c>
      <c r="AA16" s="17"/>
      <c r="AB16" s="333"/>
      <c r="AC16" s="333"/>
      <c r="AD16" s="333"/>
      <c r="AE16" s="333"/>
      <c r="AF16" s="17"/>
      <c r="AG16" s="333"/>
      <c r="AH16" s="333"/>
      <c r="AI16" s="333"/>
    </row>
    <row r="17" spans="1:35" ht="13.8" thickBot="1">
      <c r="A17" s="11">
        <v>5000</v>
      </c>
      <c r="B17" s="14">
        <v>1.5</v>
      </c>
      <c r="C17" s="15">
        <v>1.8</v>
      </c>
      <c r="D17" s="15">
        <v>2.625</v>
      </c>
      <c r="E17" s="6"/>
      <c r="F17" s="4">
        <v>1500</v>
      </c>
      <c r="G17" s="7">
        <v>0.15</v>
      </c>
      <c r="H17" s="8">
        <v>0.18</v>
      </c>
      <c r="I17" s="8">
        <v>0.26</v>
      </c>
      <c r="J17" s="6"/>
      <c r="K17" s="11">
        <v>750</v>
      </c>
      <c r="L17" s="14">
        <v>1.44</v>
      </c>
      <c r="M17" s="15">
        <v>1.73</v>
      </c>
      <c r="N17" s="15">
        <v>2.52</v>
      </c>
      <c r="P17" s="347">
        <v>5.5</v>
      </c>
      <c r="Q17" s="8">
        <v>3.5200000000000005</v>
      </c>
      <c r="R17" s="8">
        <v>4.2240000000000002</v>
      </c>
      <c r="S17" s="8">
        <v>6.16</v>
      </c>
      <c r="AA17" s="17"/>
      <c r="AB17" s="333"/>
      <c r="AC17" s="333"/>
      <c r="AD17" s="333"/>
      <c r="AE17" s="333"/>
      <c r="AF17" s="17"/>
      <c r="AG17" s="333"/>
      <c r="AH17" s="333"/>
      <c r="AI17" s="333"/>
    </row>
    <row r="18" spans="1:35" ht="13.8" thickBot="1">
      <c r="A18" s="11">
        <v>5500</v>
      </c>
      <c r="B18" s="14">
        <v>1.65</v>
      </c>
      <c r="C18" s="15">
        <v>1.98</v>
      </c>
      <c r="D18" s="15">
        <v>2.8875000000000002</v>
      </c>
      <c r="E18" s="6"/>
      <c r="F18" s="340">
        <v>1600</v>
      </c>
      <c r="G18" s="7">
        <v>0.16</v>
      </c>
      <c r="H18" s="8">
        <v>0.2</v>
      </c>
      <c r="I18" s="8">
        <v>0.28000000000000003</v>
      </c>
      <c r="J18" s="6"/>
      <c r="K18" s="11">
        <v>800</v>
      </c>
      <c r="L18" s="14">
        <v>1.54</v>
      </c>
      <c r="M18" s="15">
        <v>1.84</v>
      </c>
      <c r="N18" s="15">
        <v>2.69</v>
      </c>
      <c r="P18" s="347">
        <v>6</v>
      </c>
      <c r="Q18" s="8">
        <v>3.84</v>
      </c>
      <c r="R18" s="8">
        <v>4.6079999999999997</v>
      </c>
      <c r="S18" s="8">
        <v>6.7200000000000006</v>
      </c>
      <c r="AA18" s="17"/>
      <c r="AB18" s="333"/>
      <c r="AC18" s="333"/>
      <c r="AD18" s="333"/>
      <c r="AE18" s="333"/>
      <c r="AF18" s="17"/>
      <c r="AG18" s="333"/>
      <c r="AH18" s="333"/>
      <c r="AI18" s="333"/>
    </row>
    <row r="19" spans="1:35" ht="13.8" thickBot="1">
      <c r="A19" s="11">
        <v>6000</v>
      </c>
      <c r="B19" s="14">
        <v>1.8</v>
      </c>
      <c r="C19" s="15">
        <v>2.16</v>
      </c>
      <c r="D19" s="15">
        <v>3.15</v>
      </c>
      <c r="E19" s="6"/>
      <c r="F19" s="340">
        <v>1700</v>
      </c>
      <c r="G19" s="7">
        <v>0.17</v>
      </c>
      <c r="H19" s="8">
        <v>0.21</v>
      </c>
      <c r="I19" s="8">
        <v>0.3</v>
      </c>
      <c r="J19" s="6"/>
      <c r="K19" s="11">
        <v>850</v>
      </c>
      <c r="L19" s="14">
        <v>1.63</v>
      </c>
      <c r="M19" s="15">
        <v>1.96</v>
      </c>
      <c r="N19" s="15">
        <v>2.86</v>
      </c>
      <c r="P19" s="347">
        <v>6.5</v>
      </c>
      <c r="Q19" s="8">
        <v>4.16</v>
      </c>
      <c r="R19" s="8">
        <v>4.9920000000000009</v>
      </c>
      <c r="S19" s="8">
        <v>7.28</v>
      </c>
      <c r="AA19" s="17"/>
      <c r="AB19" s="333"/>
      <c r="AC19" s="333"/>
      <c r="AD19" s="333"/>
      <c r="AE19" s="333"/>
      <c r="AF19" s="17"/>
      <c r="AG19" s="333"/>
      <c r="AH19" s="333"/>
      <c r="AI19" s="333"/>
    </row>
    <row r="20" spans="1:35" ht="13.8" thickBot="1">
      <c r="A20" s="11"/>
      <c r="B20" s="14"/>
      <c r="C20" s="15"/>
      <c r="D20" s="15"/>
      <c r="E20" s="6"/>
      <c r="F20" s="340">
        <v>1800</v>
      </c>
      <c r="G20" s="7">
        <v>0.18</v>
      </c>
      <c r="H20" s="8">
        <v>0.22</v>
      </c>
      <c r="I20" s="8">
        <v>0.32</v>
      </c>
      <c r="J20" s="6"/>
      <c r="K20" s="11">
        <v>900</v>
      </c>
      <c r="L20" s="14">
        <v>1.73</v>
      </c>
      <c r="M20" s="15">
        <v>2.0699999999999998</v>
      </c>
      <c r="N20" s="15">
        <v>3.02</v>
      </c>
      <c r="P20" s="347">
        <v>7</v>
      </c>
      <c r="Q20" s="8">
        <v>4.4799999999999995</v>
      </c>
      <c r="R20" s="8">
        <v>5.3760000000000003</v>
      </c>
      <c r="S20" s="8">
        <v>7.8400000000000007</v>
      </c>
      <c r="AA20" s="17"/>
      <c r="AB20" s="333"/>
      <c r="AC20" s="333"/>
      <c r="AD20" s="333"/>
      <c r="AE20" s="333"/>
      <c r="AF20" s="17"/>
      <c r="AG20" s="333"/>
      <c r="AH20" s="333"/>
      <c r="AI20" s="333"/>
    </row>
    <row r="21" spans="1:35" ht="13.8" thickBot="1">
      <c r="A21" s="17"/>
      <c r="B21" s="18"/>
      <c r="C21" s="18"/>
      <c r="D21" s="18"/>
      <c r="E21" s="6"/>
      <c r="F21" s="340">
        <v>1900</v>
      </c>
      <c r="G21" s="7">
        <v>0.19</v>
      </c>
      <c r="H21" s="8">
        <v>0.23</v>
      </c>
      <c r="I21" s="8">
        <v>0.33</v>
      </c>
      <c r="J21" s="6"/>
      <c r="K21" s="11">
        <v>950</v>
      </c>
      <c r="L21" s="14">
        <v>1.82</v>
      </c>
      <c r="M21" s="15">
        <v>2.19</v>
      </c>
      <c r="N21" s="15">
        <v>3.19</v>
      </c>
      <c r="P21" s="347">
        <v>7.5</v>
      </c>
      <c r="Q21" s="8">
        <v>4.8000000000000007</v>
      </c>
      <c r="R21" s="8">
        <v>5.7600000000000007</v>
      </c>
      <c r="S21" s="8">
        <v>8.4</v>
      </c>
      <c r="AA21" s="17"/>
      <c r="AB21" s="333"/>
      <c r="AC21" s="333"/>
      <c r="AD21" s="333"/>
      <c r="AE21" s="333"/>
      <c r="AF21" s="17"/>
      <c r="AG21" s="333"/>
      <c r="AH21" s="333"/>
      <c r="AI21" s="333"/>
    </row>
    <row r="22" spans="1:35" ht="13.8" thickBot="1">
      <c r="A22" s="17"/>
      <c r="B22" s="18"/>
      <c r="C22" s="18"/>
      <c r="D22" s="18"/>
      <c r="E22" s="6"/>
      <c r="F22" s="340">
        <v>2000</v>
      </c>
      <c r="G22" s="7">
        <v>0.2</v>
      </c>
      <c r="H22" s="8">
        <v>0.24</v>
      </c>
      <c r="I22" s="8">
        <v>0.35</v>
      </c>
      <c r="J22" s="6"/>
      <c r="K22" s="11">
        <v>1000</v>
      </c>
      <c r="L22" s="14">
        <v>1.92</v>
      </c>
      <c r="M22" s="15">
        <v>2.2999999999999998</v>
      </c>
      <c r="N22" s="15">
        <v>3.36</v>
      </c>
      <c r="P22" s="347">
        <v>8</v>
      </c>
      <c r="Q22" s="8">
        <v>5.120000000000001</v>
      </c>
      <c r="R22" s="8">
        <v>6.1440000000000001</v>
      </c>
      <c r="S22" s="8">
        <v>8.9599999999999991</v>
      </c>
      <c r="AA22" s="17"/>
      <c r="AB22" s="333"/>
      <c r="AC22" s="333"/>
      <c r="AD22" s="333"/>
      <c r="AE22" s="333"/>
      <c r="AF22" s="17"/>
      <c r="AG22" s="333"/>
      <c r="AH22" s="333"/>
      <c r="AI22" s="333"/>
    </row>
    <row r="23" spans="1:35" ht="13.8" hidden="1" thickBot="1">
      <c r="A23" s="17"/>
      <c r="B23" s="18"/>
      <c r="C23" s="18"/>
      <c r="D23" s="18"/>
      <c r="E23" s="6"/>
      <c r="F23" s="340">
        <v>2100</v>
      </c>
      <c r="G23" s="7">
        <v>0.21</v>
      </c>
      <c r="H23" s="8">
        <v>0.25</v>
      </c>
      <c r="I23" s="8">
        <v>0.37</v>
      </c>
      <c r="J23" s="6"/>
      <c r="K23"/>
      <c r="L23">
        <v>0</v>
      </c>
      <c r="M23">
        <v>0</v>
      </c>
      <c r="N23">
        <v>0</v>
      </c>
      <c r="P23" s="347">
        <v>8.5</v>
      </c>
      <c r="Q23" s="8">
        <v>5.44</v>
      </c>
      <c r="R23" s="8">
        <v>6.5280000000000005</v>
      </c>
      <c r="S23" s="8">
        <v>9.5200000000000014</v>
      </c>
      <c r="AA23" s="333"/>
      <c r="AB23" s="333"/>
      <c r="AC23" s="333"/>
      <c r="AD23" s="333"/>
      <c r="AE23" s="333"/>
      <c r="AF23" s="17"/>
      <c r="AG23" s="333"/>
      <c r="AH23" s="333"/>
      <c r="AI23" s="333"/>
    </row>
    <row r="24" spans="1:35" ht="13.8" hidden="1" thickBot="1">
      <c r="A24" s="17"/>
      <c r="B24" s="18"/>
      <c r="C24" s="18"/>
      <c r="D24" s="18"/>
      <c r="E24" s="6"/>
      <c r="F24" s="340">
        <v>2200</v>
      </c>
      <c r="G24" s="7">
        <v>0.22</v>
      </c>
      <c r="H24" s="8">
        <v>0.26</v>
      </c>
      <c r="I24" s="8">
        <v>0.39</v>
      </c>
      <c r="J24" s="6"/>
      <c r="K24"/>
      <c r="L24">
        <v>0</v>
      </c>
      <c r="M24">
        <v>0</v>
      </c>
      <c r="N24">
        <v>0</v>
      </c>
      <c r="P24" s="347">
        <v>9</v>
      </c>
      <c r="Q24" s="8">
        <v>5.7600000000000007</v>
      </c>
      <c r="R24" s="8">
        <v>6.9120000000000008</v>
      </c>
      <c r="S24" s="8">
        <v>10.08</v>
      </c>
      <c r="AA24" s="333"/>
      <c r="AB24" s="333"/>
      <c r="AC24" s="333"/>
      <c r="AD24" s="333"/>
      <c r="AE24" s="333"/>
      <c r="AF24" s="17"/>
      <c r="AG24" s="333"/>
      <c r="AH24" s="333"/>
      <c r="AI24" s="333"/>
    </row>
    <row r="25" spans="1:35" ht="13.8" hidden="1" thickBot="1">
      <c r="A25" s="17"/>
      <c r="B25" s="18"/>
      <c r="C25" s="18"/>
      <c r="D25" s="18"/>
      <c r="E25" s="6"/>
      <c r="F25" s="340">
        <v>2300</v>
      </c>
      <c r="G25" s="7">
        <v>0.23</v>
      </c>
      <c r="H25" s="8">
        <v>0.27</v>
      </c>
      <c r="I25" s="8">
        <v>0.41</v>
      </c>
      <c r="J25" s="6"/>
      <c r="K25"/>
      <c r="L25">
        <v>0</v>
      </c>
      <c r="M25">
        <v>0</v>
      </c>
      <c r="N25">
        <v>0</v>
      </c>
      <c r="P25" s="347">
        <v>9.5</v>
      </c>
      <c r="Q25" s="8">
        <v>6.08</v>
      </c>
      <c r="R25" s="8">
        <v>7.2959999999999994</v>
      </c>
      <c r="S25" s="8">
        <v>10.64</v>
      </c>
      <c r="AA25" s="333"/>
      <c r="AB25" s="333"/>
      <c r="AC25" s="333"/>
      <c r="AD25" s="333"/>
      <c r="AE25" s="333"/>
      <c r="AF25" s="17"/>
      <c r="AG25" s="333"/>
      <c r="AH25" s="333"/>
      <c r="AI25" s="333"/>
    </row>
    <row r="26" spans="1:35" ht="13.8" hidden="1" thickBot="1">
      <c r="A26" s="17"/>
      <c r="B26" s="18"/>
      <c r="C26" s="18"/>
      <c r="D26" s="18"/>
      <c r="F26" s="340">
        <v>2400</v>
      </c>
      <c r="G26" s="7">
        <v>0.24</v>
      </c>
      <c r="H26" s="8">
        <v>0.28000000000000003</v>
      </c>
      <c r="I26" s="8">
        <v>0.43</v>
      </c>
      <c r="K26"/>
      <c r="L26">
        <v>0</v>
      </c>
      <c r="M26">
        <v>0</v>
      </c>
      <c r="N26">
        <v>0</v>
      </c>
      <c r="P26" s="347">
        <v>10</v>
      </c>
      <c r="Q26" s="8">
        <v>6.4</v>
      </c>
      <c r="R26" s="8">
        <v>7.68</v>
      </c>
      <c r="S26" s="8">
        <v>11.200000000000001</v>
      </c>
      <c r="AA26" s="333"/>
      <c r="AB26" s="333"/>
      <c r="AC26" s="333"/>
      <c r="AD26" s="333"/>
      <c r="AE26" s="333"/>
      <c r="AF26" s="17"/>
      <c r="AG26" s="333"/>
      <c r="AH26" s="333"/>
      <c r="AI26" s="333"/>
    </row>
    <row r="27" spans="1:35" ht="13.8" hidden="1" thickBot="1">
      <c r="A27" s="17"/>
      <c r="B27" s="18"/>
      <c r="C27" s="18"/>
      <c r="D27" s="18"/>
      <c r="F27" s="340">
        <v>2500</v>
      </c>
      <c r="G27" s="7">
        <v>0.25</v>
      </c>
      <c r="H27" s="8">
        <v>0.3</v>
      </c>
      <c r="I27" s="8">
        <v>0.44</v>
      </c>
      <c r="K27"/>
      <c r="L27">
        <v>0</v>
      </c>
      <c r="M27">
        <v>0</v>
      </c>
      <c r="N27">
        <v>0</v>
      </c>
      <c r="P27" s="347"/>
      <c r="Q27" s="8">
        <v>0</v>
      </c>
      <c r="R27" s="8">
        <v>0</v>
      </c>
      <c r="S27" s="8">
        <v>0</v>
      </c>
      <c r="AA27" s="333"/>
      <c r="AB27" s="333"/>
      <c r="AC27" s="333"/>
      <c r="AD27" s="333"/>
      <c r="AE27" s="333"/>
      <c r="AF27" s="17"/>
      <c r="AG27" s="333"/>
      <c r="AH27" s="333"/>
      <c r="AI27" s="333"/>
    </row>
    <row r="28" spans="1:35" ht="13.8" thickBot="1">
      <c r="F28" s="340">
        <v>2600</v>
      </c>
      <c r="G28" s="7">
        <v>0.26</v>
      </c>
      <c r="H28" s="8">
        <v>0.32</v>
      </c>
      <c r="I28" s="8">
        <v>0.46</v>
      </c>
      <c r="K28" s="341">
        <v>1050</v>
      </c>
      <c r="L28" s="7">
        <v>2.02</v>
      </c>
      <c r="M28" s="7">
        <v>2.42</v>
      </c>
      <c r="N28" s="7">
        <v>3.53</v>
      </c>
      <c r="P28" s="347">
        <v>8.5</v>
      </c>
      <c r="Q28" s="8">
        <v>5.44</v>
      </c>
      <c r="R28" s="8">
        <v>6.5280000000000005</v>
      </c>
      <c r="S28" s="8">
        <v>9.5200000000000014</v>
      </c>
      <c r="AA28" s="17"/>
      <c r="AB28" s="333"/>
      <c r="AC28" s="333"/>
      <c r="AD28" s="333"/>
      <c r="AE28" s="333"/>
      <c r="AF28" s="17"/>
      <c r="AG28" s="333"/>
      <c r="AH28" s="333"/>
      <c r="AI28" s="333"/>
    </row>
    <row r="29" spans="1:35" ht="13.8" thickBot="1">
      <c r="F29" s="340">
        <v>2700</v>
      </c>
      <c r="G29" s="7">
        <v>0.27</v>
      </c>
      <c r="H29" s="8">
        <v>0.33</v>
      </c>
      <c r="I29" s="8">
        <v>0.48</v>
      </c>
      <c r="K29" s="341">
        <v>1100</v>
      </c>
      <c r="L29" s="7">
        <v>2.11</v>
      </c>
      <c r="M29" s="7">
        <v>2.54</v>
      </c>
      <c r="N29" s="7">
        <v>3.7</v>
      </c>
      <c r="P29" s="347">
        <v>9</v>
      </c>
      <c r="Q29" s="8">
        <v>5.7600000000000007</v>
      </c>
      <c r="R29" s="8">
        <v>6.9120000000000008</v>
      </c>
      <c r="S29" s="8">
        <v>10.08</v>
      </c>
      <c r="AA29" s="17"/>
      <c r="AB29" s="333"/>
      <c r="AC29" s="333"/>
      <c r="AD29" s="333"/>
      <c r="AE29" s="333"/>
      <c r="AF29" s="17"/>
      <c r="AG29" s="333"/>
      <c r="AH29" s="333"/>
      <c r="AI29" s="333"/>
    </row>
    <row r="30" spans="1:35" ht="14.4" thickBot="1">
      <c r="A30" s="53"/>
      <c r="F30" s="340">
        <v>2800</v>
      </c>
      <c r="G30" s="7">
        <v>0.28000000000000003</v>
      </c>
      <c r="H30" s="8">
        <v>0.34</v>
      </c>
      <c r="I30" s="8">
        <v>0.49</v>
      </c>
      <c r="K30" s="341">
        <v>1150</v>
      </c>
      <c r="L30" s="7">
        <v>2.21</v>
      </c>
      <c r="M30" s="7">
        <v>2.65</v>
      </c>
      <c r="N30" s="7">
        <v>3.86</v>
      </c>
      <c r="P30" s="347">
        <v>9.5</v>
      </c>
      <c r="Q30" s="8">
        <v>6.08</v>
      </c>
      <c r="R30" s="8">
        <v>7.2959999999999994</v>
      </c>
      <c r="S30" s="8">
        <v>10.64</v>
      </c>
      <c r="AA30" s="17"/>
      <c r="AB30" s="333"/>
      <c r="AC30" s="333"/>
      <c r="AD30" s="333"/>
      <c r="AE30" s="333"/>
      <c r="AF30" s="17"/>
      <c r="AG30" s="333"/>
      <c r="AH30" s="333"/>
      <c r="AI30" s="333"/>
    </row>
    <row r="31" spans="1:35" ht="13.8" thickBot="1">
      <c r="F31" s="340">
        <v>2900</v>
      </c>
      <c r="G31" s="7">
        <v>0.28999999999999998</v>
      </c>
      <c r="H31" s="8">
        <v>0.35</v>
      </c>
      <c r="I31" s="8">
        <v>0.51</v>
      </c>
      <c r="K31" s="341">
        <v>1200</v>
      </c>
      <c r="L31" s="7">
        <v>2.2999999999999998</v>
      </c>
      <c r="M31" s="7">
        <v>2.77</v>
      </c>
      <c r="N31" s="7">
        <v>4.03</v>
      </c>
      <c r="P31" s="347">
        <v>10</v>
      </c>
      <c r="Q31" s="8">
        <v>6.4</v>
      </c>
      <c r="R31" s="8">
        <v>7.68</v>
      </c>
      <c r="S31" s="8">
        <v>11.200000000000001</v>
      </c>
      <c r="AA31" s="17"/>
      <c r="AB31" s="333"/>
      <c r="AC31" s="333"/>
      <c r="AD31" s="333"/>
      <c r="AE31" s="333"/>
      <c r="AF31" s="17"/>
      <c r="AG31" s="333"/>
      <c r="AH31" s="333"/>
      <c r="AI31" s="333"/>
    </row>
    <row r="32" spans="1:35" ht="13.8" thickBot="1">
      <c r="A32" s="337"/>
      <c r="B32" s="339"/>
      <c r="C32" s="19"/>
      <c r="D32" s="19"/>
      <c r="E32" s="333"/>
      <c r="F32" s="340">
        <v>3000</v>
      </c>
      <c r="G32" s="7">
        <v>0.3</v>
      </c>
      <c r="H32" s="8">
        <v>0.36</v>
      </c>
      <c r="I32" s="8">
        <v>0.53</v>
      </c>
      <c r="J32" s="333"/>
      <c r="K32" s="341">
        <v>1250</v>
      </c>
      <c r="L32" s="7">
        <v>2.4</v>
      </c>
      <c r="M32" s="7">
        <v>2.88</v>
      </c>
      <c r="N32" s="7">
        <v>4.2</v>
      </c>
      <c r="AA32" s="17"/>
      <c r="AB32" s="333"/>
      <c r="AC32" s="333"/>
      <c r="AD32" s="333"/>
      <c r="AE32" s="333"/>
      <c r="AF32" s="333"/>
      <c r="AG32" s="333"/>
      <c r="AH32" s="333"/>
      <c r="AI32" s="333"/>
    </row>
    <row r="33" spans="1:35" ht="13.8" thickBot="1">
      <c r="A33" s="337"/>
      <c r="B33" s="339"/>
      <c r="C33" s="19"/>
      <c r="D33" s="19"/>
      <c r="E33" s="333"/>
      <c r="F33" s="352">
        <v>3200</v>
      </c>
      <c r="G33" s="353">
        <v>0.32</v>
      </c>
      <c r="H33" s="354">
        <v>0.4</v>
      </c>
      <c r="I33" s="354">
        <v>0.56000000000000005</v>
      </c>
      <c r="J33" s="333"/>
      <c r="K33" s="341">
        <v>1300</v>
      </c>
      <c r="L33" s="7">
        <v>2.5</v>
      </c>
      <c r="M33" s="7">
        <v>3</v>
      </c>
      <c r="N33" s="7">
        <v>4.37</v>
      </c>
      <c r="AA33" s="17"/>
      <c r="AB33" s="333"/>
      <c r="AC33" s="333"/>
      <c r="AD33" s="333"/>
      <c r="AE33" s="333"/>
      <c r="AF33" s="333"/>
      <c r="AG33" s="333"/>
      <c r="AH33" s="333"/>
      <c r="AI33" s="333"/>
    </row>
    <row r="34" spans="1:35" ht="13.8" thickBot="1">
      <c r="A34" s="334"/>
      <c r="B34" s="335"/>
      <c r="C34" s="19"/>
      <c r="D34" s="19"/>
      <c r="E34" s="333"/>
      <c r="F34" s="352">
        <v>3400</v>
      </c>
      <c r="G34" s="353">
        <v>0.34</v>
      </c>
      <c r="H34" s="354">
        <v>0.42</v>
      </c>
      <c r="I34" s="354">
        <v>0.6</v>
      </c>
      <c r="J34" s="333"/>
      <c r="K34" s="341">
        <v>1350</v>
      </c>
      <c r="L34" s="7">
        <v>2.59</v>
      </c>
      <c r="M34" s="7">
        <v>3.12</v>
      </c>
      <c r="N34" s="7">
        <v>4.54</v>
      </c>
      <c r="AA34" s="17"/>
      <c r="AB34" s="333"/>
      <c r="AC34" s="333"/>
      <c r="AD34" s="333"/>
      <c r="AE34" s="333"/>
      <c r="AF34" s="333"/>
      <c r="AG34" s="333"/>
      <c r="AH34" s="333"/>
      <c r="AI34" s="333"/>
    </row>
    <row r="35" spans="1:35" ht="13.8" thickBot="1">
      <c r="A35" s="334"/>
      <c r="B35" s="336"/>
      <c r="C35" s="19"/>
      <c r="D35" s="19"/>
      <c r="E35" s="333"/>
      <c r="F35" s="352">
        <v>3500</v>
      </c>
      <c r="G35" s="353">
        <v>0.35</v>
      </c>
      <c r="H35" s="354">
        <v>0.43</v>
      </c>
      <c r="I35" s="354">
        <v>0.61</v>
      </c>
      <c r="J35" s="333"/>
      <c r="K35" s="341">
        <v>1400</v>
      </c>
      <c r="L35" s="7">
        <v>2.69</v>
      </c>
      <c r="M35" s="7">
        <v>3.24</v>
      </c>
      <c r="N35" s="7">
        <v>4.7</v>
      </c>
      <c r="AA35" s="17"/>
      <c r="AB35" s="333"/>
      <c r="AC35" s="333"/>
      <c r="AD35" s="333"/>
      <c r="AE35" s="333"/>
      <c r="AF35" s="333"/>
      <c r="AG35" s="333"/>
      <c r="AH35" s="333"/>
      <c r="AI35" s="333"/>
    </row>
    <row r="36" spans="1:35" ht="13.8" thickBot="1">
      <c r="A36" s="334"/>
      <c r="B36" s="336"/>
      <c r="C36" s="19"/>
      <c r="D36" s="19"/>
      <c r="E36" s="333"/>
      <c r="F36" s="352">
        <v>3800</v>
      </c>
      <c r="G36" s="353">
        <v>0.38</v>
      </c>
      <c r="H36" s="354">
        <v>0.46</v>
      </c>
      <c r="I36" s="354">
        <v>0.66</v>
      </c>
      <c r="J36" s="333"/>
      <c r="K36" s="341">
        <v>1450</v>
      </c>
      <c r="L36" s="7">
        <v>2.78</v>
      </c>
      <c r="M36" s="7">
        <v>3.36</v>
      </c>
      <c r="N36" s="7">
        <v>4.87</v>
      </c>
      <c r="AA36" s="17"/>
      <c r="AB36" s="333"/>
      <c r="AC36" s="333"/>
      <c r="AD36" s="333"/>
      <c r="AE36" s="333"/>
      <c r="AF36" s="333"/>
      <c r="AG36" s="333"/>
      <c r="AH36" s="333"/>
      <c r="AI36" s="333"/>
    </row>
    <row r="37" spans="1:35" ht="13.8" thickBot="1">
      <c r="A37" s="334"/>
      <c r="B37" s="336"/>
      <c r="C37" s="19"/>
      <c r="D37" s="19"/>
      <c r="E37" s="333"/>
      <c r="F37" s="352">
        <v>4000</v>
      </c>
      <c r="G37" s="353">
        <v>0.4</v>
      </c>
      <c r="H37" s="354">
        <v>0.48</v>
      </c>
      <c r="I37" s="354">
        <v>0.7</v>
      </c>
      <c r="J37" s="333"/>
      <c r="K37" s="342">
        <v>1500</v>
      </c>
      <c r="L37" s="343">
        <v>2.88</v>
      </c>
      <c r="M37" s="343">
        <v>3.48</v>
      </c>
      <c r="N37" s="343">
        <v>5.04</v>
      </c>
      <c r="AA37" s="17"/>
      <c r="AB37" s="333"/>
      <c r="AC37" s="333"/>
      <c r="AD37" s="333"/>
      <c r="AE37" s="333"/>
      <c r="AF37" s="333"/>
      <c r="AG37" s="333"/>
      <c r="AH37" s="333"/>
      <c r="AI37" s="333"/>
    </row>
    <row r="38" spans="1:35" ht="13.8" thickBot="1">
      <c r="A38" s="334"/>
      <c r="B38" s="336"/>
      <c r="C38" s="19"/>
      <c r="D38" s="19"/>
      <c r="E38" s="333"/>
      <c r="F38" s="352">
        <v>4500</v>
      </c>
      <c r="G38" s="353">
        <v>0.45</v>
      </c>
      <c r="H38" s="354">
        <v>0.54</v>
      </c>
      <c r="I38" s="354">
        <v>0.8</v>
      </c>
      <c r="J38" s="333"/>
      <c r="K38" s="344">
        <v>1750</v>
      </c>
      <c r="L38" s="5">
        <v>3.36</v>
      </c>
      <c r="M38" s="345">
        <v>4.08</v>
      </c>
      <c r="N38" s="345">
        <v>5.88</v>
      </c>
      <c r="AA38" s="334"/>
      <c r="AB38" s="333"/>
      <c r="AC38" s="333"/>
      <c r="AD38" s="333"/>
      <c r="AE38" s="333"/>
      <c r="AF38" s="333"/>
      <c r="AG38" s="333"/>
      <c r="AH38" s="333"/>
      <c r="AI38" s="333"/>
    </row>
    <row r="39" spans="1:35" ht="13.8" thickBot="1">
      <c r="A39" s="334"/>
      <c r="B39" s="336"/>
      <c r="C39" s="19"/>
      <c r="D39" s="19"/>
      <c r="E39" s="333"/>
      <c r="F39" s="352">
        <v>5000</v>
      </c>
      <c r="G39" s="353">
        <v>0.5</v>
      </c>
      <c r="H39" s="354">
        <v>0.6</v>
      </c>
      <c r="I39" s="354">
        <v>0.9</v>
      </c>
      <c r="J39" s="333"/>
      <c r="K39" s="340">
        <v>2000</v>
      </c>
      <c r="L39" s="7">
        <v>3.84</v>
      </c>
      <c r="M39" s="8">
        <v>4.68</v>
      </c>
      <c r="N39" s="8">
        <v>6.72</v>
      </c>
      <c r="AA39" s="334"/>
      <c r="AB39" s="333"/>
      <c r="AC39" s="333"/>
      <c r="AD39" s="333"/>
      <c r="AE39" s="333"/>
      <c r="AF39" s="333"/>
      <c r="AG39" s="333"/>
      <c r="AH39" s="333"/>
      <c r="AI39" s="333"/>
    </row>
    <row r="40" spans="1:35" ht="13.8" thickBot="1">
      <c r="A40" s="334"/>
      <c r="B40" s="336"/>
      <c r="C40" s="19"/>
      <c r="D40" s="19"/>
      <c r="E40" s="333"/>
      <c r="F40" s="352">
        <v>5500</v>
      </c>
      <c r="G40" s="353">
        <v>0.55000000000000004</v>
      </c>
      <c r="H40" s="354">
        <v>0.66</v>
      </c>
      <c r="I40" s="354">
        <v>1</v>
      </c>
      <c r="J40" s="333"/>
      <c r="K40" s="340">
        <v>2250</v>
      </c>
      <c r="L40" s="7">
        <v>4.32</v>
      </c>
      <c r="M40" s="8">
        <v>5.28</v>
      </c>
      <c r="N40" s="8">
        <v>7.56</v>
      </c>
      <c r="AA40" s="334"/>
      <c r="AB40" s="333"/>
      <c r="AC40" s="333"/>
      <c r="AD40" s="333"/>
      <c r="AE40" s="333"/>
      <c r="AF40" s="333"/>
      <c r="AG40" s="333"/>
      <c r="AH40" s="333"/>
      <c r="AI40" s="333"/>
    </row>
    <row r="41" spans="1:35" ht="13.8" thickBot="1">
      <c r="A41" s="334"/>
      <c r="B41" s="336"/>
      <c r="C41" s="19"/>
      <c r="D41" s="19"/>
      <c r="E41" s="333"/>
      <c r="F41" s="352">
        <v>6000</v>
      </c>
      <c r="G41" s="353">
        <v>0.6</v>
      </c>
      <c r="H41" s="354">
        <v>0.72</v>
      </c>
      <c r="I41" s="354">
        <v>1.08</v>
      </c>
      <c r="J41" s="333"/>
      <c r="K41" s="340">
        <v>2500</v>
      </c>
      <c r="L41" s="7">
        <v>4.8</v>
      </c>
      <c r="M41" s="8">
        <v>5.88</v>
      </c>
      <c r="N41" s="8">
        <v>8.4</v>
      </c>
      <c r="AA41" s="334"/>
      <c r="AB41" s="333"/>
      <c r="AC41" s="333"/>
      <c r="AD41" s="333"/>
      <c r="AE41" s="333"/>
      <c r="AF41" s="333"/>
      <c r="AG41" s="333"/>
      <c r="AH41" s="333"/>
      <c r="AI41" s="333"/>
    </row>
    <row r="42" spans="1:35" ht="13.8" thickBot="1">
      <c r="A42" s="334"/>
      <c r="B42" s="336"/>
      <c r="C42" s="19"/>
      <c r="D42" s="19"/>
      <c r="E42" s="333"/>
      <c r="F42" s="334"/>
      <c r="G42" s="336"/>
      <c r="H42" s="19"/>
      <c r="I42" s="19"/>
      <c r="J42" s="333"/>
      <c r="K42" s="340">
        <v>2750</v>
      </c>
      <c r="L42" s="7">
        <v>5.28</v>
      </c>
      <c r="M42" s="8">
        <v>6.48</v>
      </c>
      <c r="N42" s="8">
        <v>9.24</v>
      </c>
      <c r="AA42" s="334"/>
      <c r="AB42" s="333"/>
      <c r="AC42" s="333"/>
      <c r="AD42" s="333"/>
      <c r="AE42" s="333"/>
      <c r="AF42" s="333"/>
      <c r="AG42" s="333"/>
      <c r="AH42" s="333"/>
      <c r="AI42" s="333"/>
    </row>
    <row r="43" spans="1:35" ht="13.8" thickBot="1">
      <c r="A43" s="19"/>
      <c r="B43" s="19"/>
      <c r="C43" s="19"/>
      <c r="D43" s="19"/>
      <c r="E43" s="333"/>
      <c r="F43" s="19"/>
      <c r="G43" s="19"/>
      <c r="H43" s="19"/>
      <c r="I43" s="19"/>
      <c r="J43" s="333"/>
      <c r="K43" s="340">
        <v>3000</v>
      </c>
      <c r="L43" s="7">
        <v>5.76</v>
      </c>
      <c r="M43" s="8">
        <v>7.08</v>
      </c>
      <c r="N43" s="8">
        <v>10.08</v>
      </c>
      <c r="AA43" s="334"/>
      <c r="AB43" s="333"/>
      <c r="AC43" s="333"/>
      <c r="AD43" s="333"/>
      <c r="AE43" s="333"/>
      <c r="AF43" s="333"/>
      <c r="AG43" s="333"/>
      <c r="AH43" s="333"/>
      <c r="AI43" s="333"/>
    </row>
    <row r="44" spans="1:35">
      <c r="K44"/>
      <c r="L44"/>
      <c r="M44"/>
      <c r="N44"/>
    </row>
    <row r="45" spans="1:35">
      <c r="K45"/>
      <c r="L45"/>
      <c r="M45"/>
      <c r="N45"/>
    </row>
    <row r="49" spans="1:17" ht="14.25" customHeight="1">
      <c r="A49" s="330" t="s">
        <v>286</v>
      </c>
      <c r="B49" s="53" t="s">
        <v>69</v>
      </c>
      <c r="F49" s="330" t="s">
        <v>287</v>
      </c>
      <c r="K49" s="330" t="s">
        <v>288</v>
      </c>
      <c r="P49" s="330" t="s">
        <v>321</v>
      </c>
      <c r="Q49" s="330"/>
    </row>
    <row r="50" spans="1:17">
      <c r="A50" s="330" t="s">
        <v>285</v>
      </c>
      <c r="B50" s="330" t="s">
        <v>1</v>
      </c>
      <c r="F50" s="330" t="s">
        <v>285</v>
      </c>
      <c r="G50" s="330" t="s">
        <v>1</v>
      </c>
      <c r="K50" s="330" t="s">
        <v>285</v>
      </c>
      <c r="L50" s="330" t="s">
        <v>1</v>
      </c>
      <c r="P50" s="330" t="s">
        <v>285</v>
      </c>
      <c r="Q50" s="330" t="s">
        <v>1</v>
      </c>
    </row>
    <row r="51" spans="1:17" ht="13.8" thickBot="1">
      <c r="A51" s="4">
        <v>0</v>
      </c>
      <c r="B51" s="329">
        <v>0</v>
      </c>
      <c r="F51" s="4">
        <v>0</v>
      </c>
      <c r="G51" s="329">
        <v>0</v>
      </c>
      <c r="K51" s="54">
        <v>0</v>
      </c>
      <c r="L51" s="329">
        <v>0</v>
      </c>
      <c r="P51" s="54">
        <v>0</v>
      </c>
      <c r="Q51" s="390">
        <v>0</v>
      </c>
    </row>
    <row r="52" spans="1:17" ht="13.8" thickBot="1">
      <c r="A52" s="4">
        <v>1000</v>
      </c>
      <c r="B52" s="7">
        <v>0.5</v>
      </c>
      <c r="C52" s="9">
        <f>B9*1.6</f>
        <v>0.48</v>
      </c>
      <c r="F52" s="4">
        <v>1000</v>
      </c>
      <c r="G52" s="7">
        <v>0.2</v>
      </c>
      <c r="H52" s="9">
        <f>G12*2</f>
        <v>0.2</v>
      </c>
      <c r="K52" s="54">
        <v>1</v>
      </c>
      <c r="L52" s="5">
        <v>1.024</v>
      </c>
      <c r="M52" s="9">
        <f>Q8*1.6</f>
        <v>1.0240000000000002</v>
      </c>
      <c r="P52" s="404">
        <v>150</v>
      </c>
      <c r="Q52" s="405">
        <f>P52*0.006</f>
        <v>0.9</v>
      </c>
    </row>
    <row r="53" spans="1:17" ht="13.8" thickBot="1">
      <c r="A53" s="4">
        <v>1500</v>
      </c>
      <c r="B53" s="7">
        <v>0.75</v>
      </c>
      <c r="C53" s="9">
        <f t="shared" ref="C53:C57" si="3">B10*1.6</f>
        <v>0.72</v>
      </c>
      <c r="F53" s="4">
        <v>1500</v>
      </c>
      <c r="G53" s="7">
        <v>0.3</v>
      </c>
      <c r="K53" s="54">
        <v>1.5</v>
      </c>
      <c r="L53" s="7">
        <v>1.536</v>
      </c>
      <c r="P53" s="404">
        <v>200</v>
      </c>
      <c r="Q53" s="405">
        <f t="shared" ref="Q53:Q57" si="4">P53*0.006</f>
        <v>1.2</v>
      </c>
    </row>
    <row r="54" spans="1:17" ht="13.8" thickBot="1">
      <c r="A54" s="4">
        <v>2000</v>
      </c>
      <c r="B54" s="5">
        <v>1</v>
      </c>
      <c r="C54" s="9">
        <f t="shared" si="3"/>
        <v>0.96</v>
      </c>
      <c r="F54" s="4">
        <v>2000</v>
      </c>
      <c r="G54" s="5">
        <v>0.4</v>
      </c>
      <c r="K54" s="54">
        <v>2</v>
      </c>
      <c r="L54" s="7">
        <v>2.048</v>
      </c>
      <c r="P54" s="404">
        <v>250</v>
      </c>
      <c r="Q54" s="405">
        <f t="shared" si="4"/>
        <v>1.5</v>
      </c>
    </row>
    <row r="55" spans="1:17" ht="13.8" thickBot="1">
      <c r="A55" s="4">
        <v>2500</v>
      </c>
      <c r="B55" s="7">
        <v>1.25</v>
      </c>
      <c r="C55" s="9">
        <f>B12*1.6</f>
        <v>1.2</v>
      </c>
      <c r="F55" s="4">
        <v>2500</v>
      </c>
      <c r="G55" s="7">
        <v>0.5</v>
      </c>
      <c r="K55" s="54">
        <v>2.5</v>
      </c>
      <c r="L55" s="5">
        <v>2.5600000000000005</v>
      </c>
      <c r="P55" s="404">
        <v>300</v>
      </c>
      <c r="Q55" s="405">
        <f t="shared" si="4"/>
        <v>1.8</v>
      </c>
    </row>
    <row r="56" spans="1:17" ht="13.8" thickBot="1">
      <c r="A56" s="4">
        <v>3000</v>
      </c>
      <c r="B56" s="7">
        <v>1.5</v>
      </c>
      <c r="C56" s="9">
        <f t="shared" si="3"/>
        <v>1.44</v>
      </c>
      <c r="F56" s="4">
        <v>3000</v>
      </c>
      <c r="G56" s="7">
        <v>0.6</v>
      </c>
      <c r="K56" s="54">
        <v>3</v>
      </c>
      <c r="L56" s="7">
        <v>3.0720000000000001</v>
      </c>
      <c r="P56" s="404">
        <v>400</v>
      </c>
      <c r="Q56" s="405">
        <f t="shared" si="4"/>
        <v>2.4</v>
      </c>
    </row>
    <row r="57" spans="1:17" ht="13.8" thickBot="1">
      <c r="A57" s="4">
        <v>3500</v>
      </c>
      <c r="B57" s="5">
        <v>1.75</v>
      </c>
      <c r="C57" s="9">
        <f t="shared" si="3"/>
        <v>1.6800000000000002</v>
      </c>
      <c r="F57" s="4">
        <v>3500</v>
      </c>
      <c r="G57" s="5">
        <v>0.70000000000000007</v>
      </c>
      <c r="K57" s="54">
        <v>3.5</v>
      </c>
      <c r="L57" s="7">
        <v>3.5840000000000005</v>
      </c>
      <c r="P57" s="404">
        <v>500</v>
      </c>
      <c r="Q57" s="405">
        <f t="shared" si="4"/>
        <v>3</v>
      </c>
    </row>
    <row r="58" spans="1:17" ht="13.8" thickBot="1">
      <c r="A58" s="4">
        <v>4000</v>
      </c>
      <c r="B58" s="7">
        <v>2</v>
      </c>
      <c r="F58" s="4">
        <v>4000</v>
      </c>
      <c r="G58" s="7">
        <v>0.8</v>
      </c>
      <c r="K58" s="54">
        <v>4</v>
      </c>
      <c r="L58" s="5">
        <v>4.0960000000000001</v>
      </c>
    </row>
    <row r="59" spans="1:17" ht="13.8" thickBot="1">
      <c r="A59" s="4">
        <v>4500</v>
      </c>
      <c r="B59" s="7">
        <v>2.25</v>
      </c>
      <c r="F59" s="4">
        <v>4500</v>
      </c>
      <c r="G59" s="7">
        <v>0.9</v>
      </c>
      <c r="K59" s="54">
        <v>4.5</v>
      </c>
      <c r="L59" s="7">
        <v>4.6079999999999997</v>
      </c>
    </row>
    <row r="60" spans="1:17" ht="13.8" thickBot="1">
      <c r="A60" s="4">
        <v>5000</v>
      </c>
      <c r="B60" s="7">
        <v>2.5</v>
      </c>
      <c r="F60" s="4">
        <v>5000</v>
      </c>
      <c r="G60" s="5">
        <v>1</v>
      </c>
      <c r="K60" s="54">
        <v>5</v>
      </c>
      <c r="L60" s="7">
        <v>5.120000000000001</v>
      </c>
    </row>
    <row r="61" spans="1:17" ht="13.8" thickBot="1">
      <c r="A61" s="4">
        <v>5500</v>
      </c>
      <c r="B61" s="5">
        <v>2.75</v>
      </c>
      <c r="F61" s="4">
        <v>5500</v>
      </c>
      <c r="G61" s="7">
        <v>1.1000000000000001</v>
      </c>
      <c r="K61" s="54">
        <v>6</v>
      </c>
      <c r="L61" s="7">
        <v>6.1440000000000001</v>
      </c>
    </row>
    <row r="62" spans="1:17" ht="13.8" thickBot="1">
      <c r="A62" s="4">
        <v>6000</v>
      </c>
      <c r="B62" s="7">
        <v>3</v>
      </c>
      <c r="F62" s="4">
        <v>6000</v>
      </c>
      <c r="G62" s="7">
        <v>1.2</v>
      </c>
      <c r="K62" s="54">
        <v>7</v>
      </c>
      <c r="L62" s="7">
        <v>7.168000000000001</v>
      </c>
    </row>
    <row r="63" spans="1:17" ht="13.8" thickBot="1">
      <c r="A63" s="4">
        <v>6000</v>
      </c>
      <c r="B63" s="7">
        <v>3</v>
      </c>
      <c r="F63" s="4">
        <v>6000</v>
      </c>
      <c r="G63" s="7">
        <v>1.2</v>
      </c>
      <c r="K63" s="54">
        <v>8</v>
      </c>
      <c r="L63" s="7">
        <v>8.1920000000000002</v>
      </c>
    </row>
    <row r="64" spans="1:17" ht="13.8" thickBot="1">
      <c r="A64" s="4"/>
      <c r="B64" s="348"/>
      <c r="F64" s="4"/>
      <c r="G64" s="348"/>
      <c r="K64" s="54">
        <v>9</v>
      </c>
      <c r="L64" s="5">
        <v>9.2159999999999993</v>
      </c>
    </row>
    <row r="65" spans="1:26" ht="13.8" thickBot="1">
      <c r="A65" s="4"/>
      <c r="B65" s="348"/>
      <c r="F65" s="4"/>
      <c r="G65" s="348"/>
      <c r="K65" s="54">
        <v>10</v>
      </c>
      <c r="L65" s="5">
        <v>10.240000000000002</v>
      </c>
    </row>
    <row r="66" spans="1:26" ht="13.8" thickBot="1">
      <c r="A66" s="442" t="s">
        <v>3</v>
      </c>
      <c r="B66" s="443"/>
      <c r="C66" s="443"/>
      <c r="D66" s="444"/>
      <c r="E66" s="1"/>
      <c r="F66" s="442" t="s">
        <v>4</v>
      </c>
      <c r="G66" s="443"/>
      <c r="H66" s="443"/>
      <c r="I66" s="444"/>
      <c r="J66" s="1"/>
      <c r="K66" s="442" t="s">
        <v>5</v>
      </c>
      <c r="L66" s="443"/>
      <c r="M66" s="443"/>
      <c r="N66" s="444"/>
      <c r="O66" s="1"/>
      <c r="P66" s="442" t="s">
        <v>67</v>
      </c>
      <c r="Q66" s="443"/>
      <c r="R66" s="443"/>
      <c r="S66" s="444"/>
      <c r="T66" s="1"/>
      <c r="U66" s="437" t="s">
        <v>6</v>
      </c>
      <c r="V66" s="439"/>
      <c r="X66" s="437" t="s">
        <v>40</v>
      </c>
      <c r="Y66" s="439"/>
      <c r="Z66" s="349"/>
    </row>
    <row r="67" spans="1:26" ht="13.8" thickBot="1">
      <c r="A67" s="445" t="s">
        <v>7</v>
      </c>
      <c r="B67" s="434" t="s">
        <v>1</v>
      </c>
      <c r="C67" s="435"/>
      <c r="D67" s="436"/>
      <c r="E67" s="2"/>
      <c r="F67" s="445" t="s">
        <v>7</v>
      </c>
      <c r="G67" s="434" t="s">
        <v>1</v>
      </c>
      <c r="H67" s="435"/>
      <c r="I67" s="436"/>
      <c r="J67" s="2"/>
      <c r="K67" s="445" t="s">
        <v>7</v>
      </c>
      <c r="L67" s="434" t="s">
        <v>1</v>
      </c>
      <c r="M67" s="435"/>
      <c r="N67" s="436"/>
      <c r="P67" s="445" t="s">
        <v>7</v>
      </c>
      <c r="Q67" s="434" t="s">
        <v>1</v>
      </c>
      <c r="R67" s="435"/>
      <c r="S67" s="436"/>
      <c r="U67" s="447" t="s">
        <v>7</v>
      </c>
      <c r="V67" s="449" t="s">
        <v>0</v>
      </c>
      <c r="X67" s="447" t="s">
        <v>7</v>
      </c>
      <c r="Y67" s="449" t="s">
        <v>0</v>
      </c>
      <c r="Z67" s="350"/>
    </row>
    <row r="68" spans="1:26" ht="24.6" thickBot="1">
      <c r="A68" s="446"/>
      <c r="B68" s="10" t="s">
        <v>2</v>
      </c>
      <c r="C68" s="10" t="s">
        <v>8</v>
      </c>
      <c r="D68" s="10" t="s">
        <v>9</v>
      </c>
      <c r="E68" s="3"/>
      <c r="F68" s="446"/>
      <c r="G68" s="10" t="s">
        <v>2</v>
      </c>
      <c r="H68" s="10" t="s">
        <v>8</v>
      </c>
      <c r="I68" s="10" t="s">
        <v>9</v>
      </c>
      <c r="J68" s="3"/>
      <c r="K68" s="446"/>
      <c r="L68" s="10" t="s">
        <v>2</v>
      </c>
      <c r="M68" s="10" t="s">
        <v>8</v>
      </c>
      <c r="N68" s="10" t="s">
        <v>9</v>
      </c>
      <c r="P68" s="446"/>
      <c r="Q68" s="10" t="s">
        <v>2</v>
      </c>
      <c r="R68" s="10" t="s">
        <v>8</v>
      </c>
      <c r="S68" s="10" t="s">
        <v>9</v>
      </c>
      <c r="U68" s="448"/>
      <c r="V68" s="450"/>
      <c r="X68" s="448"/>
      <c r="Y68" s="450"/>
      <c r="Z68" s="350"/>
    </row>
    <row r="69" spans="1:26" ht="13.8" thickBot="1">
      <c r="A69" s="11">
        <v>3500</v>
      </c>
      <c r="B69" s="10">
        <v>1.05</v>
      </c>
      <c r="C69" s="20">
        <v>1.26</v>
      </c>
      <c r="D69" s="20">
        <v>1.8374999999999999</v>
      </c>
      <c r="E69" s="21"/>
      <c r="F69" s="11">
        <v>0</v>
      </c>
      <c r="G69" s="279">
        <v>0</v>
      </c>
      <c r="H69" s="280">
        <v>0</v>
      </c>
      <c r="I69" s="280">
        <v>0</v>
      </c>
      <c r="J69" s="21"/>
      <c r="K69" s="11">
        <v>1081.25</v>
      </c>
      <c r="L69" s="10">
        <v>2.5950000000000002</v>
      </c>
      <c r="M69" s="20">
        <v>3.1139999999999999</v>
      </c>
      <c r="N69" s="20">
        <v>4.5412499999999998</v>
      </c>
      <c r="P69" s="11">
        <v>3.6666666666666701</v>
      </c>
      <c r="Q69" s="10">
        <v>2.93333333333333</v>
      </c>
      <c r="R69" s="20">
        <v>3.52</v>
      </c>
      <c r="S69" s="20">
        <v>5.1333333333333302</v>
      </c>
      <c r="U69" s="22">
        <v>1400</v>
      </c>
      <c r="V69" s="329">
        <v>5.25</v>
      </c>
      <c r="X69" s="4">
        <v>15833.333333333299</v>
      </c>
      <c r="Y69" s="329">
        <v>1.825</v>
      </c>
      <c r="Z69" s="331"/>
    </row>
    <row r="70" spans="1:26" ht="13.8" thickBot="1">
      <c r="A70" s="11">
        <v>4000</v>
      </c>
      <c r="B70" s="12">
        <v>1.2</v>
      </c>
      <c r="C70" s="13">
        <v>1.44</v>
      </c>
      <c r="D70" s="13">
        <v>2.1</v>
      </c>
      <c r="E70" s="6"/>
      <c r="F70" s="4">
        <v>1600</v>
      </c>
      <c r="G70" s="7">
        <v>0.16</v>
      </c>
      <c r="H70" s="8">
        <v>0.193333333333333</v>
      </c>
      <c r="I70" s="8">
        <v>0.28066666666666701</v>
      </c>
      <c r="J70" s="6"/>
      <c r="K70" s="11">
        <v>1136.76470588235</v>
      </c>
      <c r="L70" s="12">
        <v>2.72823529411765</v>
      </c>
      <c r="M70" s="13">
        <v>3.2738823529411798</v>
      </c>
      <c r="N70" s="13">
        <v>4.7744117647058797</v>
      </c>
      <c r="P70" s="11">
        <v>4.2380952380952399</v>
      </c>
      <c r="Q70" s="12">
        <v>3.39047619047619</v>
      </c>
      <c r="R70" s="13">
        <v>4.0685714285714303</v>
      </c>
      <c r="S70" s="13">
        <v>5.93333333333333</v>
      </c>
      <c r="U70" s="4">
        <v>1600</v>
      </c>
      <c r="V70" s="5">
        <v>6</v>
      </c>
      <c r="X70" s="4">
        <v>17833.333333333299</v>
      </c>
      <c r="Y70" s="5">
        <v>2.036</v>
      </c>
      <c r="Z70" s="332"/>
    </row>
    <row r="71" spans="1:26" ht="13.8" thickBot="1">
      <c r="A71" s="11">
        <v>4500</v>
      </c>
      <c r="B71" s="14">
        <v>1.35</v>
      </c>
      <c r="C71" s="15">
        <v>1.62</v>
      </c>
      <c r="D71" s="15">
        <v>2.3624999999999998</v>
      </c>
      <c r="E71" s="6"/>
      <c r="F71" s="4">
        <v>1700</v>
      </c>
      <c r="G71" s="7">
        <v>0.17</v>
      </c>
      <c r="H71" s="8">
        <v>0.20557575757575799</v>
      </c>
      <c r="I71" s="8">
        <v>0.29806060606060603</v>
      </c>
      <c r="J71" s="6"/>
      <c r="K71" s="11">
        <v>1192.2794117647099</v>
      </c>
      <c r="L71" s="14">
        <v>2.8614705882353002</v>
      </c>
      <c r="M71" s="15">
        <v>3.4337647058823602</v>
      </c>
      <c r="N71" s="15">
        <v>5.0075735294117596</v>
      </c>
      <c r="P71" s="11">
        <v>4.8095238095238102</v>
      </c>
      <c r="Q71" s="14">
        <v>3.8476190476190499</v>
      </c>
      <c r="R71" s="15">
        <v>4.6171428571428601</v>
      </c>
      <c r="S71" s="15">
        <v>6.7333333333333298</v>
      </c>
      <c r="U71" s="4">
        <v>1800</v>
      </c>
      <c r="V71" s="7">
        <v>6.75</v>
      </c>
      <c r="X71" s="4">
        <v>19833.333333333299</v>
      </c>
      <c r="Y71" s="7">
        <v>2.2469999999999999</v>
      </c>
      <c r="Z71" s="332"/>
    </row>
    <row r="72" spans="1:26" ht="13.8" thickBot="1">
      <c r="A72" s="11">
        <v>5000</v>
      </c>
      <c r="B72" s="14">
        <v>1.5</v>
      </c>
      <c r="C72" s="15">
        <v>1.8</v>
      </c>
      <c r="D72" s="15">
        <v>2.625</v>
      </c>
      <c r="E72" s="6"/>
      <c r="F72" s="4">
        <v>1800</v>
      </c>
      <c r="G72" s="7">
        <v>0.18</v>
      </c>
      <c r="H72" s="8">
        <v>0.21781818181818199</v>
      </c>
      <c r="I72" s="8">
        <v>0.31545454545454599</v>
      </c>
      <c r="J72" s="6"/>
      <c r="K72" s="11">
        <v>1247.7941176470599</v>
      </c>
      <c r="L72" s="14">
        <v>2.9947058823529402</v>
      </c>
      <c r="M72" s="15">
        <v>3.5936470588235299</v>
      </c>
      <c r="N72" s="15">
        <v>5.2407352941176404</v>
      </c>
      <c r="P72" s="11">
        <v>5.3809523809523903</v>
      </c>
      <c r="Q72" s="14">
        <v>4.3047619047619001</v>
      </c>
      <c r="R72" s="15">
        <v>5.1657142857142899</v>
      </c>
      <c r="S72" s="15">
        <v>7.5333333333333297</v>
      </c>
      <c r="U72" s="4">
        <v>2000</v>
      </c>
      <c r="V72" s="7">
        <v>7.5</v>
      </c>
      <c r="X72" s="4">
        <v>21833.333333333299</v>
      </c>
      <c r="Y72" s="7">
        <v>2.4580000000000002</v>
      </c>
      <c r="Z72" s="332"/>
    </row>
    <row r="73" spans="1:26" ht="13.8" thickBot="1">
      <c r="A73" s="11">
        <v>5500</v>
      </c>
      <c r="B73" s="14">
        <v>1.65</v>
      </c>
      <c r="C73" s="15">
        <v>1.98</v>
      </c>
      <c r="D73" s="15">
        <v>2.8875000000000002</v>
      </c>
      <c r="E73" s="6"/>
      <c r="F73" s="4">
        <v>1900</v>
      </c>
      <c r="G73" s="7">
        <v>0.19</v>
      </c>
      <c r="H73" s="8">
        <v>0.23006060606060599</v>
      </c>
      <c r="I73" s="8">
        <v>0.332848484848485</v>
      </c>
      <c r="J73" s="6"/>
      <c r="K73" s="11">
        <v>1303.3088235294099</v>
      </c>
      <c r="L73" s="14">
        <v>3.12794117647059</v>
      </c>
      <c r="M73" s="15">
        <v>3.7535294117647098</v>
      </c>
      <c r="N73" s="15">
        <v>5.4738970588235301</v>
      </c>
      <c r="P73" s="11">
        <v>5.9523809523809597</v>
      </c>
      <c r="Q73" s="14">
        <v>4.7619047619047601</v>
      </c>
      <c r="R73" s="15">
        <v>5.7142857142857197</v>
      </c>
      <c r="S73" s="15">
        <v>8.3333333333333304</v>
      </c>
      <c r="U73" s="4">
        <v>2200</v>
      </c>
      <c r="V73" s="7">
        <v>8.25</v>
      </c>
      <c r="X73" s="4">
        <v>23833.333333333299</v>
      </c>
      <c r="Y73" s="5">
        <v>2.669</v>
      </c>
      <c r="Z73" s="332"/>
    </row>
    <row r="74" spans="1:26" ht="13.8" thickBot="1">
      <c r="A74" s="11">
        <v>6000</v>
      </c>
      <c r="B74" s="14">
        <v>1.8</v>
      </c>
      <c r="C74" s="15">
        <v>2.16</v>
      </c>
      <c r="D74" s="15">
        <v>3.15</v>
      </c>
      <c r="E74" s="6"/>
      <c r="F74" s="4">
        <v>2000</v>
      </c>
      <c r="G74" s="7">
        <v>0.2</v>
      </c>
      <c r="H74" s="8">
        <v>0.24230303030302999</v>
      </c>
      <c r="I74" s="8">
        <v>0.35024242424242502</v>
      </c>
      <c r="J74" s="6"/>
      <c r="K74" s="11">
        <v>1358.8235294117601</v>
      </c>
      <c r="L74" s="14">
        <v>3.2611764705882398</v>
      </c>
      <c r="M74" s="15">
        <v>3.9134117647058901</v>
      </c>
      <c r="N74" s="15">
        <v>5.70705882352941</v>
      </c>
      <c r="P74" s="11">
        <v>6.5238095238095299</v>
      </c>
      <c r="Q74" s="14">
        <v>5.21904761904762</v>
      </c>
      <c r="R74" s="15">
        <v>6.2628571428571496</v>
      </c>
      <c r="S74" s="15">
        <v>9.1333333333333293</v>
      </c>
      <c r="U74" s="4">
        <v>2400</v>
      </c>
      <c r="V74" s="7">
        <v>9</v>
      </c>
      <c r="X74" s="4">
        <v>25833.333333333299</v>
      </c>
      <c r="Y74" s="7">
        <v>2.88</v>
      </c>
      <c r="Z74" s="332"/>
    </row>
    <row r="75" spans="1:26" ht="13.8" thickBot="1">
      <c r="A75" s="11">
        <v>6500</v>
      </c>
      <c r="B75" s="14">
        <v>1.95</v>
      </c>
      <c r="C75" s="15">
        <v>2.34</v>
      </c>
      <c r="D75" s="15">
        <v>3.4125000000000001</v>
      </c>
      <c r="E75" s="6"/>
      <c r="F75" s="4">
        <v>2100</v>
      </c>
      <c r="G75" s="7">
        <v>0.21</v>
      </c>
      <c r="H75" s="8">
        <v>0.25454545454545502</v>
      </c>
      <c r="I75" s="8">
        <v>0.36763636363636398</v>
      </c>
      <c r="J75" s="6"/>
      <c r="K75" s="11">
        <v>1414.3382352941101</v>
      </c>
      <c r="L75" s="14">
        <v>3.39441176470589</v>
      </c>
      <c r="M75" s="15">
        <v>4.0732941176470598</v>
      </c>
      <c r="N75" s="15">
        <v>5.9402205882352899</v>
      </c>
      <c r="U75" s="4">
        <v>2600</v>
      </c>
      <c r="V75" s="7">
        <v>9.75</v>
      </c>
      <c r="X75" s="4">
        <v>27833.333333333299</v>
      </c>
      <c r="Y75" s="7">
        <v>3.0910000000000002</v>
      </c>
      <c r="Z75" s="332"/>
    </row>
    <row r="76" spans="1:26" ht="13.8" thickBot="1">
      <c r="A76"/>
      <c r="B76"/>
      <c r="C76"/>
      <c r="D76"/>
      <c r="E76" s="6"/>
      <c r="F76" s="4">
        <v>2200</v>
      </c>
      <c r="G76" s="7">
        <v>0.22</v>
      </c>
      <c r="H76" s="8">
        <v>0.26678787878787902</v>
      </c>
      <c r="I76" s="8">
        <v>0.385030303030303</v>
      </c>
      <c r="J76" s="6"/>
      <c r="K76" s="11">
        <v>1469.85294117647</v>
      </c>
      <c r="L76" s="14">
        <v>3.52764705882353</v>
      </c>
      <c r="M76" s="15">
        <v>4.2331764705882398</v>
      </c>
      <c r="N76" s="15">
        <v>6.1733823529411698</v>
      </c>
      <c r="X76" s="4">
        <v>29833.333333333299</v>
      </c>
      <c r="Y76" s="5">
        <v>3.302</v>
      </c>
      <c r="Z76" s="332"/>
    </row>
    <row r="77" spans="1:26" ht="13.8" thickBot="1">
      <c r="A77"/>
      <c r="B77"/>
      <c r="C77"/>
      <c r="D77"/>
      <c r="E77" s="6"/>
      <c r="F77" s="4">
        <v>2300</v>
      </c>
      <c r="G77" s="7">
        <v>0.23</v>
      </c>
      <c r="H77" s="8">
        <v>0.27903030303030302</v>
      </c>
      <c r="I77" s="8">
        <v>0.40242424242424302</v>
      </c>
      <c r="J77" s="6"/>
      <c r="K77" s="11">
        <v>1525.36764705882</v>
      </c>
      <c r="L77" s="14">
        <v>3.6608823529411798</v>
      </c>
      <c r="M77" s="15">
        <v>4.3930588235294197</v>
      </c>
      <c r="N77" s="15">
        <v>6.4065441176470603</v>
      </c>
      <c r="X77" s="4">
        <v>31833.333333333299</v>
      </c>
      <c r="Y77" s="7">
        <v>3.5129999999999999</v>
      </c>
      <c r="Z77" s="332"/>
    </row>
    <row r="78" spans="1:26" ht="13.8" thickBot="1">
      <c r="A78"/>
      <c r="B78"/>
      <c r="C78"/>
      <c r="D78"/>
      <c r="E78" s="6"/>
      <c r="F78" s="4">
        <v>2400</v>
      </c>
      <c r="G78" s="7">
        <v>0.24</v>
      </c>
      <c r="H78" s="8">
        <v>0.29127272727272702</v>
      </c>
      <c r="I78" s="8">
        <v>0.41981818181818198</v>
      </c>
      <c r="J78" s="6"/>
      <c r="K78" s="11">
        <v>1580.88235294117</v>
      </c>
      <c r="L78" s="14">
        <v>3.79411764705883</v>
      </c>
      <c r="M78" s="15">
        <v>4.5529411764705898</v>
      </c>
      <c r="N78" s="15">
        <v>6.6397058823529402</v>
      </c>
    </row>
    <row r="79" spans="1:26" ht="13.8" thickBot="1">
      <c r="A79"/>
      <c r="B79"/>
      <c r="C79"/>
      <c r="D79"/>
      <c r="E79" s="6"/>
      <c r="F79" s="4">
        <v>2500</v>
      </c>
      <c r="G79" s="7">
        <v>0.25</v>
      </c>
      <c r="H79" s="8">
        <v>0.30351515151515202</v>
      </c>
      <c r="I79" s="8">
        <v>0.437212121212121</v>
      </c>
      <c r="J79" s="6"/>
      <c r="K79" s="11">
        <v>1636.39705882353</v>
      </c>
      <c r="L79" s="14">
        <v>3.92735294117647</v>
      </c>
      <c r="M79" s="15">
        <v>4.7128235294117697</v>
      </c>
      <c r="N79" s="15">
        <v>6.8728676470588201</v>
      </c>
    </row>
    <row r="80" spans="1:26" ht="13.8" thickBot="1">
      <c r="A80" s="17"/>
      <c r="B80" s="18"/>
      <c r="C80" s="18"/>
      <c r="D80" s="18"/>
      <c r="E80" s="6"/>
      <c r="F80"/>
      <c r="G80"/>
      <c r="H80"/>
      <c r="I80"/>
      <c r="J80" s="6"/>
      <c r="K80" s="11">
        <v>1691.9117647058799</v>
      </c>
      <c r="L80" s="14">
        <v>4.0605882352941203</v>
      </c>
      <c r="M80" s="15">
        <v>4.8727058823529399</v>
      </c>
      <c r="N80" s="15">
        <v>7.1060294117647</v>
      </c>
    </row>
    <row r="81" spans="1:14" ht="13.8" thickBot="1">
      <c r="A81" s="17"/>
      <c r="B81" s="18"/>
      <c r="C81" s="18"/>
      <c r="D81" s="18"/>
      <c r="E81" s="6"/>
      <c r="F81"/>
      <c r="G81"/>
      <c r="H81"/>
      <c r="I81"/>
      <c r="J81" s="6"/>
      <c r="K81" s="11">
        <v>1747.4264705882299</v>
      </c>
      <c r="L81" s="14">
        <v>4.1938235294117696</v>
      </c>
      <c r="M81" s="15">
        <v>5.0325882352941198</v>
      </c>
      <c r="N81" s="15">
        <v>7.3391911764705897</v>
      </c>
    </row>
    <row r="82" spans="1:14" ht="13.8" thickBot="1">
      <c r="A82" s="17"/>
      <c r="B82" s="18"/>
      <c r="C82" s="18"/>
      <c r="D82" s="18"/>
      <c r="E82" s="6"/>
      <c r="F82"/>
      <c r="G82"/>
      <c r="H82" s="16"/>
      <c r="I82" s="16"/>
      <c r="J82" s="6"/>
      <c r="K82" s="11">
        <v>1802.9411764705901</v>
      </c>
      <c r="L82" s="14">
        <v>4.3270588235294101</v>
      </c>
      <c r="M82" s="15">
        <v>5.1924705882352997</v>
      </c>
      <c r="N82" s="15">
        <v>7.5723529411764696</v>
      </c>
    </row>
    <row r="83" spans="1:14" ht="13.8" thickBot="1">
      <c r="A83" s="17"/>
      <c r="B83" s="18"/>
      <c r="C83" s="18"/>
      <c r="D83" s="18"/>
      <c r="E83" s="6"/>
      <c r="F83"/>
      <c r="G83"/>
      <c r="H83" s="18"/>
      <c r="I83" s="16"/>
      <c r="J83" s="6"/>
      <c r="K83" s="11">
        <v>1858.4558823529401</v>
      </c>
      <c r="L83" s="14">
        <v>4.4602941176470603</v>
      </c>
      <c r="M83" s="15">
        <v>5.3523529411764699</v>
      </c>
      <c r="N83" s="15">
        <v>7.8055147058823504</v>
      </c>
    </row>
    <row r="84" spans="1:14" ht="13.8" thickBot="1">
      <c r="A84" s="17"/>
      <c r="B84" s="18"/>
      <c r="C84" s="18"/>
      <c r="D84" s="18"/>
      <c r="E84" s="6"/>
      <c r="F84"/>
      <c r="G84"/>
      <c r="H84" s="18"/>
      <c r="I84" s="16"/>
      <c r="J84" s="6"/>
      <c r="K84" s="11">
        <v>1913.9705882352901</v>
      </c>
      <c r="L84" s="14">
        <v>4.5935294117647096</v>
      </c>
      <c r="M84" s="15">
        <v>5.5122352941176498</v>
      </c>
      <c r="N84" s="15">
        <v>8.0386764705882303</v>
      </c>
    </row>
    <row r="85" spans="1:14">
      <c r="A85" s="17"/>
      <c r="B85" s="18"/>
      <c r="C85" s="18"/>
      <c r="D85" s="18"/>
      <c r="E85" s="6"/>
      <c r="F85"/>
      <c r="G85"/>
      <c r="H85" s="18"/>
      <c r="I85" s="16"/>
      <c r="J85" s="6"/>
      <c r="K85"/>
      <c r="L85"/>
      <c r="M85"/>
      <c r="N85"/>
    </row>
    <row r="86" spans="1:14">
      <c r="A86" s="17"/>
      <c r="B86" s="18"/>
      <c r="C86" s="18"/>
      <c r="D86" s="18"/>
      <c r="E86" s="6"/>
      <c r="F86"/>
      <c r="G86"/>
      <c r="H86" s="18"/>
      <c r="I86" s="16"/>
      <c r="J86" s="6"/>
      <c r="K86"/>
      <c r="L86"/>
      <c r="M86"/>
      <c r="N86"/>
    </row>
    <row r="87" spans="1:14">
      <c r="A87" s="17"/>
      <c r="B87" s="18"/>
      <c r="C87" s="18"/>
      <c r="D87" s="18"/>
      <c r="E87" s="6"/>
      <c r="F87" s="17"/>
      <c r="G87" s="18"/>
      <c r="H87" s="18"/>
      <c r="I87" s="16"/>
      <c r="J87" s="6"/>
      <c r="K87"/>
      <c r="L87"/>
      <c r="M87"/>
      <c r="N87"/>
    </row>
    <row r="88" spans="1:14">
      <c r="A88" s="17"/>
      <c r="B88" s="18"/>
      <c r="C88" s="18"/>
      <c r="D88" s="18"/>
      <c r="F88" s="17"/>
      <c r="G88" s="18"/>
      <c r="H88" s="19"/>
      <c r="K88"/>
      <c r="L88"/>
      <c r="M88"/>
      <c r="N88"/>
    </row>
    <row r="89" spans="1:14">
      <c r="A89" s="17"/>
      <c r="B89" s="18"/>
      <c r="C89" s="18"/>
      <c r="D89" s="18"/>
      <c r="F89" s="17"/>
      <c r="G89" s="18"/>
      <c r="H89" s="19"/>
      <c r="K89"/>
      <c r="L89"/>
      <c r="M89"/>
      <c r="N89"/>
    </row>
    <row r="90" spans="1:14">
      <c r="K90"/>
      <c r="L90"/>
      <c r="M90"/>
      <c r="N90"/>
    </row>
    <row r="91" spans="1:14">
      <c r="K91"/>
      <c r="L91"/>
      <c r="M91"/>
      <c r="N91"/>
    </row>
    <row r="92" spans="1:14" ht="13.8">
      <c r="A92" s="53" t="s">
        <v>69</v>
      </c>
      <c r="K92"/>
      <c r="L92"/>
      <c r="M92"/>
      <c r="N92"/>
    </row>
    <row r="93" spans="1:14" ht="13.8" thickBot="1">
      <c r="K93"/>
      <c r="L93"/>
      <c r="M93"/>
      <c r="N93"/>
    </row>
    <row r="94" spans="1:14" ht="13.8" thickBot="1">
      <c r="A94" s="440" t="s">
        <v>3</v>
      </c>
      <c r="B94" s="441"/>
      <c r="F94" s="440" t="s">
        <v>4</v>
      </c>
      <c r="G94" s="441"/>
      <c r="K94" s="440" t="s">
        <v>70</v>
      </c>
      <c r="L94" s="441"/>
      <c r="M94"/>
      <c r="N94"/>
    </row>
    <row r="95" spans="1:14">
      <c r="A95" s="447" t="s">
        <v>7</v>
      </c>
      <c r="B95" s="449" t="s">
        <v>0</v>
      </c>
      <c r="F95" s="447" t="s">
        <v>7</v>
      </c>
      <c r="G95" s="449" t="s">
        <v>0</v>
      </c>
      <c r="K95" s="447" t="s">
        <v>7</v>
      </c>
      <c r="L95" s="449" t="s">
        <v>0</v>
      </c>
      <c r="M95"/>
      <c r="N95"/>
    </row>
    <row r="96" spans="1:14" ht="13.8" thickBot="1">
      <c r="A96" s="448"/>
      <c r="B96" s="450"/>
      <c r="F96" s="448"/>
      <c r="G96" s="450"/>
      <c r="K96" s="448"/>
      <c r="L96" s="450"/>
      <c r="M96"/>
      <c r="N96"/>
    </row>
    <row r="97" spans="1:14" ht="13.8" thickBot="1">
      <c r="A97" s="4">
        <v>4500</v>
      </c>
      <c r="B97" s="329">
        <v>2.2847222222222201</v>
      </c>
      <c r="F97" s="4">
        <v>4500</v>
      </c>
      <c r="G97" s="329">
        <v>0.91388888888888897</v>
      </c>
      <c r="K97" s="54">
        <v>5.6</v>
      </c>
      <c r="L97" s="329">
        <v>7.1680000000000001</v>
      </c>
      <c r="M97"/>
      <c r="N97"/>
    </row>
    <row r="98" spans="1:14" ht="13.8" thickBot="1">
      <c r="A98" s="4">
        <v>5000</v>
      </c>
      <c r="B98" s="5">
        <v>2.5472222222222198</v>
      </c>
      <c r="F98" s="4">
        <v>5000</v>
      </c>
      <c r="G98" s="5">
        <v>1.0188888888888901</v>
      </c>
      <c r="K98" s="54">
        <v>6.1272727272727296</v>
      </c>
      <c r="L98" s="5">
        <v>7.8429090909090897</v>
      </c>
      <c r="M98"/>
      <c r="N98"/>
    </row>
    <row r="99" spans="1:14" ht="13.8" thickBot="1">
      <c r="A99" s="4">
        <v>5500</v>
      </c>
      <c r="B99" s="7">
        <v>2.80972222222222</v>
      </c>
      <c r="F99" s="4">
        <v>5500</v>
      </c>
      <c r="G99" s="7">
        <v>1.12388888888889</v>
      </c>
      <c r="K99" s="54">
        <v>6.6545454545454596</v>
      </c>
      <c r="L99" s="7">
        <v>8.5178181818181802</v>
      </c>
      <c r="M99"/>
      <c r="N99"/>
    </row>
    <row r="100" spans="1:14" ht="13.8" thickBot="1">
      <c r="A100" s="4">
        <v>6000</v>
      </c>
      <c r="B100" s="7">
        <v>3.0722222222222202</v>
      </c>
      <c r="F100" s="4">
        <v>6000</v>
      </c>
      <c r="G100" s="7">
        <v>1.22888888888889</v>
      </c>
      <c r="K100" s="54">
        <v>7.1818181818181799</v>
      </c>
      <c r="L100" s="7">
        <v>9.1927272727272697</v>
      </c>
      <c r="M100"/>
      <c r="N100"/>
    </row>
    <row r="101" spans="1:14" ht="13.8" thickBot="1">
      <c r="A101" s="4">
        <v>6500</v>
      </c>
      <c r="B101" s="5">
        <v>3.3347222222222199</v>
      </c>
      <c r="F101" s="4">
        <v>6500</v>
      </c>
      <c r="G101" s="5">
        <v>1.33388888888889</v>
      </c>
      <c r="K101" s="54">
        <v>7.7090909090909099</v>
      </c>
      <c r="L101" s="5">
        <v>9.86763636363637</v>
      </c>
      <c r="M101"/>
      <c r="N101"/>
    </row>
    <row r="102" spans="1:14" ht="13.8" thickBot="1">
      <c r="A102" s="4">
        <v>7000</v>
      </c>
      <c r="B102" s="7">
        <v>3.5972222222222201</v>
      </c>
      <c r="F102" s="4">
        <v>7000</v>
      </c>
      <c r="G102" s="7">
        <v>1.43888888888889</v>
      </c>
      <c r="K102" s="54">
        <v>8.2363636363636399</v>
      </c>
      <c r="L102" s="7">
        <v>10.5425454545455</v>
      </c>
      <c r="M102"/>
      <c r="N102"/>
    </row>
    <row r="103" spans="1:14" ht="13.8" thickBot="1">
      <c r="A103" s="4">
        <v>7500</v>
      </c>
      <c r="B103" s="7">
        <v>3.8597222222222198</v>
      </c>
      <c r="F103" s="4">
        <v>7500</v>
      </c>
      <c r="G103" s="7">
        <v>1.54388888888889</v>
      </c>
      <c r="K103" s="54">
        <v>8.7636363636363708</v>
      </c>
      <c r="L103" s="7">
        <v>11.217454545454601</v>
      </c>
      <c r="M103"/>
      <c r="N103"/>
    </row>
    <row r="104" spans="1:14" ht="13.8" thickBot="1">
      <c r="A104" s="4">
        <v>8000</v>
      </c>
      <c r="B104" s="5">
        <v>4.12222222222222</v>
      </c>
      <c r="F104" s="4">
        <v>8000</v>
      </c>
      <c r="G104" s="5">
        <v>1.64888888888889</v>
      </c>
      <c r="K104" s="54">
        <v>9.2909090909090892</v>
      </c>
      <c r="L104" s="5">
        <v>11.8923636363636</v>
      </c>
      <c r="M104"/>
      <c r="N104"/>
    </row>
    <row r="105" spans="1:14" ht="13.8" thickBot="1">
      <c r="A105" s="4">
        <v>8500</v>
      </c>
      <c r="B105" s="7">
        <v>4.3847222222222202</v>
      </c>
      <c r="F105" s="4">
        <v>8500</v>
      </c>
      <c r="G105" s="7">
        <v>1.7538888888888899</v>
      </c>
      <c r="K105" s="54">
        <v>9.8181818181818201</v>
      </c>
      <c r="L105" s="7">
        <v>12.5672727272727</v>
      </c>
      <c r="M105"/>
      <c r="N105"/>
    </row>
    <row r="106" spans="1:14" ht="13.8" thickBot="1">
      <c r="K106" s="54">
        <v>10.345454545454499</v>
      </c>
      <c r="L106" s="7">
        <v>13.2421818181818</v>
      </c>
      <c r="M106"/>
      <c r="N106"/>
    </row>
    <row r="107" spans="1:14">
      <c r="K107"/>
      <c r="L107"/>
      <c r="M107"/>
      <c r="N107"/>
    </row>
    <row r="108" spans="1:14">
      <c r="K108"/>
      <c r="L108"/>
      <c r="M108"/>
      <c r="N108"/>
    </row>
  </sheetData>
  <mergeCells count="48">
    <mergeCell ref="A5:A6"/>
    <mergeCell ref="B5:D5"/>
    <mergeCell ref="F5:F6"/>
    <mergeCell ref="G5:I5"/>
    <mergeCell ref="X4:Y4"/>
    <mergeCell ref="X5:X6"/>
    <mergeCell ref="Y5:Y6"/>
    <mergeCell ref="K4:N4"/>
    <mergeCell ref="U4:V4"/>
    <mergeCell ref="P4:S4"/>
    <mergeCell ref="P5:P6"/>
    <mergeCell ref="L95:L96"/>
    <mergeCell ref="X66:Y66"/>
    <mergeCell ref="A67:A68"/>
    <mergeCell ref="B67:D67"/>
    <mergeCell ref="F67:F68"/>
    <mergeCell ref="G67:I67"/>
    <mergeCell ref="K67:K68"/>
    <mergeCell ref="L67:N67"/>
    <mergeCell ref="P67:P68"/>
    <mergeCell ref="Q67:S67"/>
    <mergeCell ref="U67:U68"/>
    <mergeCell ref="V67:V68"/>
    <mergeCell ref="X67:X68"/>
    <mergeCell ref="Y67:Y68"/>
    <mergeCell ref="A66:D66"/>
    <mergeCell ref="F66:I66"/>
    <mergeCell ref="A95:A96"/>
    <mergeCell ref="B95:B96"/>
    <mergeCell ref="F95:F96"/>
    <mergeCell ref="G95:G96"/>
    <mergeCell ref="K95:K96"/>
    <mergeCell ref="AB5:AD5"/>
    <mergeCell ref="AA4:AD4"/>
    <mergeCell ref="A94:B94"/>
    <mergeCell ref="F94:G94"/>
    <mergeCell ref="K94:L94"/>
    <mergeCell ref="K66:N66"/>
    <mergeCell ref="Q5:S5"/>
    <mergeCell ref="P66:S66"/>
    <mergeCell ref="U66:V66"/>
    <mergeCell ref="K5:K6"/>
    <mergeCell ref="L5:N5"/>
    <mergeCell ref="U5:U6"/>
    <mergeCell ref="V5:V6"/>
    <mergeCell ref="AA5:AA6"/>
    <mergeCell ref="A4:D4"/>
    <mergeCell ref="F4:I4"/>
  </mergeCells>
  <phoneticPr fontId="12" type="noConversion"/>
  <pageMargins left="0.74803149606299213" right="0.74803149606299213" top="0.98425196850393704" bottom="0.98425196850393704" header="0.51181102362204722" footer="0.51181102362204722"/>
  <pageSetup paperSize="9" scale="8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tabColor rgb="FFFF0000"/>
  </sheetPr>
  <dimension ref="A2:U105"/>
  <sheetViews>
    <sheetView showGridLines="0" topLeftCell="A70" zoomScale="80" zoomScaleNormal="80" workbookViewId="0">
      <selection activeCell="D48" sqref="D48"/>
    </sheetView>
  </sheetViews>
  <sheetFormatPr defaultRowHeight="13.2"/>
  <sheetData>
    <row r="2" spans="1:21" ht="15.6">
      <c r="A2" s="39" t="s">
        <v>43</v>
      </c>
    </row>
    <row r="4" spans="1:21" ht="18">
      <c r="A4" s="40"/>
      <c r="B4" s="41"/>
      <c r="C4" s="42" t="s">
        <v>44</v>
      </c>
      <c r="D4" s="41"/>
      <c r="E4" s="41"/>
      <c r="F4" s="41"/>
      <c r="G4" s="41"/>
      <c r="H4" s="41"/>
      <c r="I4" s="41"/>
      <c r="J4" s="41"/>
      <c r="K4" s="41"/>
      <c r="L4" s="41"/>
      <c r="M4" s="41"/>
      <c r="N4" s="42" t="s">
        <v>45</v>
      </c>
      <c r="O4" s="41"/>
      <c r="P4" s="41"/>
      <c r="Q4" s="41"/>
      <c r="R4" s="41"/>
      <c r="S4" s="41"/>
      <c r="T4" s="41"/>
      <c r="U4" s="41"/>
    </row>
    <row r="5" spans="1:21" ht="15.6">
      <c r="A5" s="453" t="s">
        <v>46</v>
      </c>
      <c r="B5" s="453"/>
      <c r="C5" s="453"/>
      <c r="D5" s="453"/>
      <c r="E5" s="453"/>
      <c r="F5" s="453"/>
      <c r="G5" s="453"/>
      <c r="H5" s="453"/>
      <c r="J5" s="43"/>
      <c r="L5" s="453" t="s">
        <v>47</v>
      </c>
      <c r="M5" s="453"/>
      <c r="N5" s="453"/>
      <c r="O5" s="453"/>
      <c r="P5" s="453"/>
      <c r="Q5" s="453"/>
      <c r="R5" s="453"/>
      <c r="S5" s="453"/>
      <c r="T5" s="453"/>
      <c r="U5" s="453"/>
    </row>
    <row r="6" spans="1:21" ht="15.6">
      <c r="A6" s="453"/>
      <c r="B6" s="453"/>
      <c r="C6" s="453"/>
      <c r="D6" s="453"/>
      <c r="E6" s="453"/>
      <c r="F6" s="453"/>
      <c r="G6" s="453"/>
      <c r="H6" s="453"/>
      <c r="I6" s="43"/>
      <c r="J6" s="43"/>
      <c r="K6" s="43"/>
      <c r="L6" s="453"/>
      <c r="M6" s="453"/>
      <c r="N6" s="453"/>
      <c r="O6" s="453"/>
      <c r="P6" s="453"/>
      <c r="Q6" s="453"/>
      <c r="R6" s="453"/>
      <c r="S6" s="453"/>
      <c r="T6" s="453"/>
      <c r="U6" s="453"/>
    </row>
    <row r="33" spans="1:20" ht="51" customHeight="1">
      <c r="A33" s="453" t="s">
        <v>48</v>
      </c>
      <c r="B33" s="453"/>
      <c r="C33" s="453"/>
      <c r="D33" s="453"/>
      <c r="E33" s="453"/>
      <c r="F33" s="453"/>
      <c r="G33" s="453"/>
      <c r="H33" s="453"/>
      <c r="J33" s="43"/>
      <c r="K33" s="43"/>
      <c r="L33" s="453" t="s">
        <v>49</v>
      </c>
      <c r="M33" s="453"/>
      <c r="N33" s="453"/>
      <c r="O33" s="453"/>
      <c r="P33" s="453"/>
      <c r="Q33" s="453"/>
      <c r="R33" s="453"/>
      <c r="S33" s="453"/>
      <c r="T33" s="453"/>
    </row>
    <row r="59" spans="1:21" ht="45" customHeight="1">
      <c r="A59" s="452" t="s">
        <v>50</v>
      </c>
      <c r="B59" s="452"/>
      <c r="C59" s="452"/>
      <c r="D59" s="452"/>
      <c r="E59" s="452"/>
      <c r="F59" s="452"/>
      <c r="G59" s="452"/>
      <c r="H59" s="452"/>
      <c r="J59" s="43"/>
      <c r="K59" s="43"/>
      <c r="L59" s="453" t="s">
        <v>51</v>
      </c>
      <c r="M59" s="453"/>
      <c r="N59" s="453"/>
      <c r="O59" s="453"/>
      <c r="P59" s="453"/>
      <c r="Q59" s="453"/>
      <c r="R59" s="453"/>
      <c r="S59" s="453"/>
      <c r="T59" s="453"/>
      <c r="U59" s="453"/>
    </row>
    <row r="60" spans="1:21">
      <c r="I60" s="44"/>
      <c r="J60" s="44"/>
      <c r="K60" s="44"/>
      <c r="L60" s="44"/>
      <c r="M60" s="44"/>
      <c r="N60" s="44"/>
      <c r="O60" s="44"/>
      <c r="P60" s="44"/>
      <c r="Q60" s="44"/>
    </row>
    <row r="83" spans="1:21" ht="48.75" customHeight="1">
      <c r="A83" s="452" t="s">
        <v>52</v>
      </c>
      <c r="B83" s="452"/>
      <c r="C83" s="452"/>
      <c r="D83" s="452"/>
      <c r="E83" s="452"/>
      <c r="F83" s="452"/>
      <c r="G83" s="452"/>
      <c r="H83" s="452"/>
      <c r="I83" s="452"/>
      <c r="J83" s="452"/>
      <c r="L83" s="453" t="s">
        <v>53</v>
      </c>
      <c r="M83" s="453"/>
      <c r="N83" s="453"/>
      <c r="O83" s="453"/>
      <c r="P83" s="453"/>
      <c r="Q83" s="453"/>
      <c r="R83" s="453"/>
      <c r="S83" s="453"/>
      <c r="T83" s="453"/>
      <c r="U83" s="453"/>
    </row>
    <row r="104" spans="1:19" ht="42.75" customHeight="1">
      <c r="A104" s="454" t="s">
        <v>54</v>
      </c>
      <c r="B104" s="454"/>
      <c r="C104" s="454"/>
      <c r="D104" s="454"/>
      <c r="E104" s="454"/>
      <c r="F104" s="454"/>
      <c r="G104" s="454"/>
      <c r="H104" s="454"/>
      <c r="I104" s="454"/>
      <c r="J104" s="454"/>
      <c r="K104" s="454"/>
      <c r="L104" s="454"/>
      <c r="M104" s="454"/>
      <c r="N104" s="454"/>
      <c r="O104" s="454"/>
      <c r="P104" s="454"/>
      <c r="Q104" s="454"/>
      <c r="R104" s="454"/>
      <c r="S104" s="454"/>
    </row>
    <row r="105" spans="1:19" ht="30.75" customHeight="1"/>
  </sheetData>
  <sheetProtection password="801E" sheet="1" objects="1" scenarios="1"/>
  <mergeCells count="9">
    <mergeCell ref="A83:J83"/>
    <mergeCell ref="L83:U83"/>
    <mergeCell ref="A104:S104"/>
    <mergeCell ref="A5:H6"/>
    <mergeCell ref="L5:U6"/>
    <mergeCell ref="A33:H33"/>
    <mergeCell ref="L33:T33"/>
    <mergeCell ref="A59:H59"/>
    <mergeCell ref="L59:U59"/>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8">
    <tabColor rgb="FFFFFF00"/>
  </sheetPr>
  <dimension ref="B1:BC41"/>
  <sheetViews>
    <sheetView zoomScale="95" zoomScaleNormal="95" workbookViewId="0">
      <selection activeCell="C4" sqref="C4:AZ4"/>
    </sheetView>
  </sheetViews>
  <sheetFormatPr defaultColWidth="9.109375" defaultRowHeight="14.4"/>
  <cols>
    <col min="1" max="1" width="2.6640625" style="232" customWidth="1"/>
    <col min="2" max="2" width="2.88671875" style="234" customWidth="1"/>
    <col min="3" max="52" width="1.88671875" style="232" customWidth="1"/>
    <col min="53" max="53" width="0.6640625" style="232" customWidth="1"/>
    <col min="54" max="54" width="1.88671875" style="232" customWidth="1"/>
    <col min="55" max="55" width="55.109375" style="232" customWidth="1"/>
    <col min="56" max="16384" width="9.109375" style="232"/>
  </cols>
  <sheetData>
    <row r="1" spans="2:53" ht="27.15" customHeight="1">
      <c r="B1" s="231" t="s">
        <v>186</v>
      </c>
    </row>
    <row r="2" spans="2:53" s="238" customFormat="1" ht="31.5" customHeight="1">
      <c r="B2" s="233" t="s">
        <v>26</v>
      </c>
      <c r="C2" s="458" t="s">
        <v>189</v>
      </c>
      <c r="D2" s="458"/>
      <c r="E2" s="458"/>
      <c r="F2" s="458"/>
      <c r="G2" s="458"/>
      <c r="H2" s="458"/>
      <c r="I2" s="458"/>
      <c r="J2" s="458"/>
      <c r="K2" s="458"/>
      <c r="L2" s="458"/>
      <c r="M2" s="458"/>
      <c r="N2" s="458"/>
      <c r="O2" s="458"/>
      <c r="P2" s="458"/>
      <c r="Q2" s="458"/>
      <c r="R2" s="458"/>
      <c r="S2" s="458"/>
      <c r="T2" s="458"/>
      <c r="U2" s="458"/>
      <c r="V2" s="458"/>
      <c r="W2" s="458"/>
      <c r="X2" s="458"/>
      <c r="Y2" s="458"/>
      <c r="Z2" s="458"/>
      <c r="AA2" s="458"/>
      <c r="AB2" s="458"/>
      <c r="AC2" s="458"/>
      <c r="AD2" s="458"/>
      <c r="AE2" s="458"/>
      <c r="AF2" s="458"/>
      <c r="AG2" s="458"/>
      <c r="AH2" s="458"/>
      <c r="AI2" s="458"/>
      <c r="AJ2" s="458"/>
      <c r="AK2" s="458"/>
      <c r="AL2" s="458"/>
      <c r="AM2" s="458"/>
      <c r="AN2" s="458"/>
      <c r="AO2" s="458"/>
      <c r="AP2" s="458"/>
      <c r="AQ2" s="458"/>
      <c r="AR2" s="458"/>
      <c r="AS2" s="458"/>
      <c r="AT2" s="458"/>
      <c r="AU2" s="458"/>
      <c r="AV2" s="458"/>
      <c r="AW2" s="458"/>
      <c r="AX2" s="458"/>
      <c r="AY2" s="458"/>
      <c r="AZ2" s="458"/>
      <c r="BA2" s="239"/>
    </row>
    <row r="3" spans="2:53" s="238" customFormat="1" ht="6" customHeight="1">
      <c r="B3" s="233"/>
      <c r="C3" s="237"/>
      <c r="D3" s="237"/>
      <c r="E3" s="237"/>
      <c r="F3" s="237"/>
      <c r="G3" s="237"/>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7"/>
      <c r="AG3" s="237"/>
      <c r="AH3" s="237"/>
      <c r="AI3" s="237"/>
      <c r="AJ3" s="237"/>
      <c r="AK3" s="237"/>
      <c r="AL3" s="237"/>
      <c r="AM3" s="237"/>
      <c r="AN3" s="237"/>
      <c r="AO3" s="237"/>
      <c r="AP3" s="237"/>
      <c r="AQ3" s="237"/>
      <c r="AR3" s="237"/>
      <c r="AS3" s="237"/>
      <c r="AT3" s="237"/>
      <c r="AU3" s="237"/>
      <c r="AV3" s="237"/>
      <c r="AW3" s="237"/>
      <c r="AX3" s="237"/>
      <c r="AY3" s="237"/>
      <c r="AZ3" s="237"/>
      <c r="BA3" s="239"/>
    </row>
    <row r="4" spans="2:53" s="238" customFormat="1" ht="15" customHeight="1">
      <c r="B4" s="233" t="s">
        <v>27</v>
      </c>
      <c r="C4" s="458" t="s">
        <v>190</v>
      </c>
      <c r="D4" s="458"/>
      <c r="E4" s="458"/>
      <c r="F4" s="458"/>
      <c r="G4" s="458"/>
      <c r="H4" s="458"/>
      <c r="I4" s="458"/>
      <c r="J4" s="458"/>
      <c r="K4" s="458"/>
      <c r="L4" s="458"/>
      <c r="M4" s="458"/>
      <c r="N4" s="458"/>
      <c r="O4" s="458"/>
      <c r="P4" s="458"/>
      <c r="Q4" s="458"/>
      <c r="R4" s="458"/>
      <c r="S4" s="458"/>
      <c r="T4" s="458"/>
      <c r="U4" s="458"/>
      <c r="V4" s="458"/>
      <c r="W4" s="458"/>
      <c r="X4" s="458"/>
      <c r="Y4" s="458"/>
      <c r="Z4" s="458"/>
      <c r="AA4" s="458"/>
      <c r="AB4" s="458"/>
      <c r="AC4" s="458"/>
      <c r="AD4" s="458"/>
      <c r="AE4" s="458"/>
      <c r="AF4" s="458"/>
      <c r="AG4" s="458"/>
      <c r="AH4" s="458"/>
      <c r="AI4" s="458"/>
      <c r="AJ4" s="458"/>
      <c r="AK4" s="458"/>
      <c r="AL4" s="458"/>
      <c r="AM4" s="458"/>
      <c r="AN4" s="458"/>
      <c r="AO4" s="458"/>
      <c r="AP4" s="458"/>
      <c r="AQ4" s="458"/>
      <c r="AR4" s="458"/>
      <c r="AS4" s="458"/>
      <c r="AT4" s="458"/>
      <c r="AU4" s="458"/>
      <c r="AV4" s="458"/>
      <c r="AW4" s="458"/>
      <c r="AX4" s="458"/>
      <c r="AY4" s="458"/>
      <c r="AZ4" s="458"/>
      <c r="BA4" s="239"/>
    </row>
    <row r="5" spans="2:53" s="238" customFormat="1" ht="6" customHeight="1">
      <c r="B5" s="233"/>
      <c r="C5" s="237"/>
      <c r="D5" s="237"/>
      <c r="E5" s="237"/>
      <c r="F5" s="237"/>
      <c r="G5" s="237"/>
      <c r="H5" s="237"/>
      <c r="I5" s="237"/>
      <c r="J5" s="237"/>
      <c r="K5" s="237"/>
      <c r="L5" s="237"/>
      <c r="M5" s="237"/>
      <c r="N5" s="237"/>
      <c r="O5" s="237"/>
      <c r="P5" s="237"/>
      <c r="Q5" s="237"/>
      <c r="R5" s="237"/>
      <c r="S5" s="237"/>
      <c r="T5" s="237"/>
      <c r="U5" s="237"/>
      <c r="V5" s="237"/>
      <c r="W5" s="237"/>
      <c r="X5" s="237"/>
      <c r="Y5" s="237"/>
      <c r="Z5" s="237"/>
      <c r="AA5" s="237"/>
      <c r="AB5" s="237"/>
      <c r="AC5" s="237"/>
      <c r="AD5" s="237"/>
      <c r="AE5" s="237"/>
      <c r="AF5" s="237"/>
      <c r="AG5" s="237"/>
      <c r="AH5" s="237"/>
      <c r="AI5" s="237"/>
      <c r="AJ5" s="237"/>
      <c r="AK5" s="237"/>
      <c r="AL5" s="237"/>
      <c r="AM5" s="237"/>
      <c r="AN5" s="237"/>
      <c r="AO5" s="237"/>
      <c r="AP5" s="237"/>
      <c r="AQ5" s="237"/>
      <c r="AR5" s="237"/>
      <c r="AS5" s="237"/>
      <c r="AT5" s="237"/>
      <c r="AU5" s="237"/>
      <c r="AV5" s="237"/>
      <c r="AW5" s="237"/>
      <c r="AX5" s="237"/>
      <c r="AY5" s="237"/>
      <c r="AZ5" s="237"/>
      <c r="BA5" s="239"/>
    </row>
    <row r="6" spans="2:53" s="238" customFormat="1" ht="15" customHeight="1">
      <c r="B6" s="233" t="s">
        <v>129</v>
      </c>
      <c r="C6" s="458" t="s">
        <v>207</v>
      </c>
      <c r="D6" s="458"/>
      <c r="E6" s="458"/>
      <c r="F6" s="458"/>
      <c r="G6" s="458"/>
      <c r="H6" s="458"/>
      <c r="I6" s="458"/>
      <c r="J6" s="458"/>
      <c r="K6" s="458"/>
      <c r="L6" s="458"/>
      <c r="M6" s="458"/>
      <c r="N6" s="458"/>
      <c r="O6" s="458"/>
      <c r="P6" s="458"/>
      <c r="Q6" s="458"/>
      <c r="R6" s="458"/>
      <c r="S6" s="458"/>
      <c r="T6" s="458"/>
      <c r="U6" s="458"/>
      <c r="V6" s="458"/>
      <c r="W6" s="458"/>
      <c r="X6" s="458"/>
      <c r="Y6" s="458"/>
      <c r="Z6" s="458"/>
      <c r="AA6" s="458"/>
      <c r="AB6" s="458"/>
      <c r="AC6" s="458"/>
      <c r="AD6" s="458"/>
      <c r="AE6" s="458"/>
      <c r="AF6" s="458"/>
      <c r="AG6" s="458"/>
      <c r="AH6" s="458"/>
      <c r="AI6" s="458"/>
      <c r="AJ6" s="458"/>
      <c r="AK6" s="458"/>
      <c r="AL6" s="458"/>
      <c r="AM6" s="458"/>
      <c r="AN6" s="458"/>
      <c r="AO6" s="458"/>
      <c r="AP6" s="458"/>
      <c r="AQ6" s="458"/>
      <c r="AR6" s="458"/>
      <c r="AS6" s="458"/>
      <c r="AT6" s="458"/>
      <c r="AU6" s="458"/>
      <c r="AV6" s="458"/>
      <c r="AW6" s="458"/>
      <c r="AX6" s="458"/>
      <c r="AY6" s="458"/>
      <c r="AZ6" s="458"/>
      <c r="BA6" s="239"/>
    </row>
    <row r="7" spans="2:53" s="238" customFormat="1" ht="6" customHeight="1">
      <c r="B7" s="233"/>
      <c r="C7" s="237"/>
      <c r="D7" s="237"/>
      <c r="E7" s="237"/>
      <c r="F7" s="237"/>
      <c r="G7" s="237"/>
      <c r="H7" s="237"/>
      <c r="I7" s="237"/>
      <c r="J7" s="237"/>
      <c r="K7" s="237"/>
      <c r="L7" s="237"/>
      <c r="M7" s="237"/>
      <c r="N7" s="237"/>
      <c r="O7" s="237"/>
      <c r="P7" s="237"/>
      <c r="Q7" s="237"/>
      <c r="R7" s="237"/>
      <c r="S7" s="237"/>
      <c r="T7" s="237"/>
      <c r="U7" s="237"/>
      <c r="V7" s="237"/>
      <c r="W7" s="237"/>
      <c r="X7" s="237"/>
      <c r="Y7" s="237"/>
      <c r="Z7" s="237"/>
      <c r="AA7" s="237"/>
      <c r="AB7" s="237"/>
      <c r="AC7" s="237"/>
      <c r="AD7" s="237"/>
      <c r="AE7" s="237"/>
      <c r="AF7" s="237"/>
      <c r="AG7" s="237"/>
      <c r="AH7" s="237"/>
      <c r="AI7" s="237"/>
      <c r="AJ7" s="237"/>
      <c r="AK7" s="237"/>
      <c r="AL7" s="237"/>
      <c r="AM7" s="237"/>
      <c r="AN7" s="237"/>
      <c r="AO7" s="237"/>
      <c r="AP7" s="237"/>
      <c r="AQ7" s="237"/>
      <c r="AR7" s="237"/>
      <c r="AS7" s="237"/>
      <c r="AT7" s="237"/>
      <c r="AU7" s="237"/>
      <c r="AV7" s="237"/>
      <c r="AW7" s="237"/>
      <c r="AX7" s="237"/>
      <c r="AY7" s="237"/>
      <c r="AZ7" s="237"/>
      <c r="BA7" s="239"/>
    </row>
    <row r="8" spans="2:53" s="238" customFormat="1" ht="30.75" customHeight="1">
      <c r="B8" s="233" t="s">
        <v>130</v>
      </c>
      <c r="C8" s="458" t="s">
        <v>191</v>
      </c>
      <c r="D8" s="458"/>
      <c r="E8" s="458"/>
      <c r="F8" s="458"/>
      <c r="G8" s="458"/>
      <c r="H8" s="458"/>
      <c r="I8" s="458"/>
      <c r="J8" s="458"/>
      <c r="K8" s="458"/>
      <c r="L8" s="458"/>
      <c r="M8" s="458"/>
      <c r="N8" s="458"/>
      <c r="O8" s="458"/>
      <c r="P8" s="458"/>
      <c r="Q8" s="458"/>
      <c r="R8" s="458"/>
      <c r="S8" s="458"/>
      <c r="T8" s="458"/>
      <c r="U8" s="458"/>
      <c r="V8" s="458"/>
      <c r="W8" s="458"/>
      <c r="X8" s="458"/>
      <c r="Y8" s="458"/>
      <c r="Z8" s="458"/>
      <c r="AA8" s="458"/>
      <c r="AB8" s="458"/>
      <c r="AC8" s="458"/>
      <c r="AD8" s="458"/>
      <c r="AE8" s="458"/>
      <c r="AF8" s="458"/>
      <c r="AG8" s="458"/>
      <c r="AH8" s="458"/>
      <c r="AI8" s="458"/>
      <c r="AJ8" s="458"/>
      <c r="AK8" s="458"/>
      <c r="AL8" s="458"/>
      <c r="AM8" s="458"/>
      <c r="AN8" s="458"/>
      <c r="AO8" s="458"/>
      <c r="AP8" s="458"/>
      <c r="AQ8" s="458"/>
      <c r="AR8" s="458"/>
      <c r="AS8" s="458"/>
      <c r="AT8" s="458"/>
      <c r="AU8" s="458"/>
      <c r="AV8" s="458"/>
      <c r="AW8" s="458"/>
      <c r="AX8" s="458"/>
      <c r="AY8" s="458"/>
      <c r="AZ8" s="458"/>
      <c r="BA8" s="239"/>
    </row>
    <row r="9" spans="2:53" s="238" customFormat="1" ht="6" customHeight="1">
      <c r="B9" s="233"/>
      <c r="C9" s="237"/>
      <c r="D9" s="237"/>
      <c r="E9" s="237"/>
      <c r="F9" s="237"/>
      <c r="G9" s="237"/>
      <c r="H9" s="237"/>
      <c r="I9" s="237"/>
      <c r="J9" s="237"/>
      <c r="K9" s="237"/>
      <c r="L9" s="237"/>
      <c r="M9" s="237"/>
      <c r="N9" s="237"/>
      <c r="O9" s="237"/>
      <c r="P9" s="237"/>
      <c r="Q9" s="237"/>
      <c r="R9" s="237"/>
      <c r="S9" s="237"/>
      <c r="T9" s="237"/>
      <c r="U9" s="237"/>
      <c r="V9" s="237"/>
      <c r="W9" s="237"/>
      <c r="X9" s="237"/>
      <c r="Y9" s="237"/>
      <c r="Z9" s="237"/>
      <c r="AA9" s="237"/>
      <c r="AB9" s="237"/>
      <c r="AC9" s="237"/>
      <c r="AD9" s="237"/>
      <c r="AE9" s="237"/>
      <c r="AF9" s="237"/>
      <c r="AG9" s="237"/>
      <c r="AH9" s="237"/>
      <c r="AI9" s="237"/>
      <c r="AJ9" s="237"/>
      <c r="AK9" s="237"/>
      <c r="AL9" s="237"/>
      <c r="AM9" s="237"/>
      <c r="AN9" s="237"/>
      <c r="AO9" s="237"/>
      <c r="AP9" s="237"/>
      <c r="AQ9" s="237"/>
      <c r="AR9" s="237"/>
      <c r="AS9" s="237"/>
      <c r="AT9" s="237"/>
      <c r="AU9" s="237"/>
      <c r="AV9" s="237"/>
      <c r="AW9" s="237"/>
      <c r="AX9" s="237"/>
      <c r="AY9" s="237"/>
      <c r="AZ9" s="237"/>
      <c r="BA9" s="239"/>
    </row>
    <row r="10" spans="2:53" s="238" customFormat="1" ht="29.25" customHeight="1">
      <c r="B10" s="233" t="s">
        <v>133</v>
      </c>
      <c r="C10" s="458" t="s">
        <v>238</v>
      </c>
      <c r="D10" s="458"/>
      <c r="E10" s="458"/>
      <c r="F10" s="458"/>
      <c r="G10" s="458"/>
      <c r="H10" s="458"/>
      <c r="I10" s="458"/>
      <c r="J10" s="458"/>
      <c r="K10" s="458"/>
      <c r="L10" s="458"/>
      <c r="M10" s="458"/>
      <c r="N10" s="458"/>
      <c r="O10" s="458"/>
      <c r="P10" s="458"/>
      <c r="Q10" s="458"/>
      <c r="R10" s="458"/>
      <c r="S10" s="458"/>
      <c r="T10" s="458"/>
      <c r="U10" s="458"/>
      <c r="V10" s="458"/>
      <c r="W10" s="458"/>
      <c r="X10" s="458"/>
      <c r="Y10" s="458"/>
      <c r="Z10" s="458"/>
      <c r="AA10" s="458"/>
      <c r="AB10" s="458"/>
      <c r="AC10" s="458"/>
      <c r="AD10" s="458"/>
      <c r="AE10" s="458"/>
      <c r="AF10" s="458"/>
      <c r="AG10" s="458"/>
      <c r="AH10" s="458"/>
      <c r="AI10" s="458"/>
      <c r="AJ10" s="458"/>
      <c r="AK10" s="458"/>
      <c r="AL10" s="458"/>
      <c r="AM10" s="458"/>
      <c r="AN10" s="458"/>
      <c r="AO10" s="458"/>
      <c r="AP10" s="458"/>
      <c r="AQ10" s="458"/>
      <c r="AR10" s="458"/>
      <c r="AS10" s="458"/>
      <c r="AT10" s="458"/>
      <c r="AU10" s="458"/>
      <c r="AV10" s="458"/>
      <c r="AW10" s="458"/>
      <c r="AX10" s="458"/>
      <c r="AY10" s="458"/>
      <c r="AZ10" s="458"/>
      <c r="BA10" s="239"/>
    </row>
    <row r="11" spans="2:53" s="238" customFormat="1" ht="15" customHeight="1">
      <c r="B11" s="233"/>
      <c r="C11" s="242" t="s">
        <v>187</v>
      </c>
      <c r="D11" s="455" t="s">
        <v>233</v>
      </c>
      <c r="E11" s="455"/>
      <c r="F11" s="455"/>
      <c r="G11" s="455"/>
      <c r="H11" s="455"/>
      <c r="I11" s="455"/>
      <c r="J11" s="455"/>
      <c r="K11" s="455"/>
      <c r="L11" s="455"/>
      <c r="M11" s="455"/>
      <c r="N11" s="455"/>
      <c r="O11" s="455"/>
      <c r="P11" s="455"/>
      <c r="Q11" s="455"/>
      <c r="R11" s="455"/>
      <c r="S11" s="455"/>
      <c r="T11" s="455"/>
      <c r="U11" s="455"/>
      <c r="V11" s="455"/>
      <c r="W11" s="455"/>
      <c r="X11" s="455"/>
      <c r="Y11" s="455"/>
      <c r="Z11" s="455"/>
      <c r="AA11" s="455"/>
      <c r="AB11" s="455"/>
      <c r="AC11" s="455"/>
      <c r="AD11" s="455"/>
      <c r="AE11" s="455"/>
      <c r="AF11" s="455"/>
      <c r="AG11" s="455"/>
      <c r="AH11" s="455"/>
      <c r="AI11" s="455"/>
      <c r="AJ11" s="455"/>
      <c r="AK11" s="455"/>
      <c r="AL11" s="455"/>
      <c r="AM11" s="455"/>
      <c r="AN11" s="455"/>
      <c r="AO11" s="455"/>
      <c r="AP11" s="455"/>
      <c r="AQ11" s="455"/>
      <c r="AR11" s="455"/>
      <c r="AS11" s="455"/>
      <c r="AT11" s="455"/>
      <c r="AU11" s="455"/>
      <c r="AV11" s="455"/>
      <c r="AW11" s="455"/>
      <c r="AX11" s="455"/>
      <c r="AY11" s="455"/>
      <c r="AZ11" s="455"/>
      <c r="BA11" s="239"/>
    </row>
    <row r="12" spans="2:53" s="238" customFormat="1" ht="15" customHeight="1">
      <c r="B12" s="233"/>
      <c r="C12" s="242" t="s">
        <v>187</v>
      </c>
      <c r="D12" s="455" t="s">
        <v>234</v>
      </c>
      <c r="E12" s="455"/>
      <c r="F12" s="455"/>
      <c r="G12" s="455"/>
      <c r="H12" s="455"/>
      <c r="I12" s="455"/>
      <c r="J12" s="455"/>
      <c r="K12" s="455"/>
      <c r="L12" s="455"/>
      <c r="M12" s="455"/>
      <c r="N12" s="455"/>
      <c r="O12" s="455"/>
      <c r="P12" s="455"/>
      <c r="Q12" s="455"/>
      <c r="R12" s="455"/>
      <c r="S12" s="455"/>
      <c r="T12" s="455"/>
      <c r="U12" s="455"/>
      <c r="V12" s="455"/>
      <c r="W12" s="455"/>
      <c r="X12" s="455"/>
      <c r="Y12" s="455"/>
      <c r="Z12" s="455"/>
      <c r="AA12" s="455"/>
      <c r="AB12" s="455"/>
      <c r="AC12" s="455"/>
      <c r="AD12" s="455"/>
      <c r="AE12" s="455"/>
      <c r="AF12" s="455"/>
      <c r="AG12" s="455"/>
      <c r="AH12" s="455"/>
      <c r="AI12" s="455"/>
      <c r="AJ12" s="455"/>
      <c r="AK12" s="455"/>
      <c r="AL12" s="455"/>
      <c r="AM12" s="455"/>
      <c r="AN12" s="455"/>
      <c r="AO12" s="455"/>
      <c r="AP12" s="455"/>
      <c r="AQ12" s="455"/>
      <c r="AR12" s="455"/>
      <c r="AS12" s="455"/>
      <c r="AT12" s="455"/>
      <c r="AU12" s="455"/>
      <c r="AV12" s="455"/>
      <c r="AW12" s="455"/>
      <c r="AX12" s="455"/>
      <c r="AY12" s="455"/>
      <c r="AZ12" s="455"/>
      <c r="BA12" s="239"/>
    </row>
    <row r="13" spans="2:53" s="238" customFormat="1" ht="15" customHeight="1">
      <c r="B13" s="233"/>
      <c r="C13" s="242" t="s">
        <v>187</v>
      </c>
      <c r="D13" s="455" t="s">
        <v>235</v>
      </c>
      <c r="E13" s="455"/>
      <c r="F13" s="455"/>
      <c r="G13" s="455"/>
      <c r="H13" s="455"/>
      <c r="I13" s="455"/>
      <c r="J13" s="455"/>
      <c r="K13" s="455"/>
      <c r="L13" s="455"/>
      <c r="M13" s="455"/>
      <c r="N13" s="455"/>
      <c r="O13" s="455"/>
      <c r="P13" s="455"/>
      <c r="Q13" s="455"/>
      <c r="R13" s="455"/>
      <c r="S13" s="455"/>
      <c r="T13" s="455"/>
      <c r="U13" s="455"/>
      <c r="V13" s="455"/>
      <c r="W13" s="455"/>
      <c r="X13" s="455"/>
      <c r="Y13" s="455"/>
      <c r="Z13" s="455"/>
      <c r="AA13" s="455"/>
      <c r="AB13" s="455"/>
      <c r="AC13" s="455"/>
      <c r="AD13" s="455"/>
      <c r="AE13" s="455"/>
      <c r="AF13" s="455"/>
      <c r="AG13" s="455"/>
      <c r="AH13" s="455"/>
      <c r="AI13" s="455"/>
      <c r="AJ13" s="455"/>
      <c r="AK13" s="455"/>
      <c r="AL13" s="455"/>
      <c r="AM13" s="455"/>
      <c r="AN13" s="455"/>
      <c r="AO13" s="455"/>
      <c r="AP13" s="455"/>
      <c r="AQ13" s="455"/>
      <c r="AR13" s="455"/>
      <c r="AS13" s="455"/>
      <c r="AT13" s="455"/>
      <c r="AU13" s="455"/>
      <c r="AV13" s="455"/>
      <c r="AW13" s="455"/>
      <c r="AX13" s="455"/>
      <c r="AY13" s="455"/>
      <c r="AZ13" s="455"/>
      <c r="BA13" s="239"/>
    </row>
    <row r="14" spans="2:53" s="238" customFormat="1" ht="15" customHeight="1">
      <c r="B14" s="233"/>
      <c r="C14" s="457" t="s">
        <v>23</v>
      </c>
      <c r="D14" s="457"/>
      <c r="E14" s="456" t="s">
        <v>236</v>
      </c>
      <c r="F14" s="456"/>
      <c r="G14" s="456"/>
      <c r="H14" s="456"/>
      <c r="I14" s="456"/>
      <c r="J14" s="456"/>
      <c r="K14" s="456"/>
      <c r="L14" s="456"/>
      <c r="M14" s="456"/>
      <c r="N14" s="456"/>
      <c r="O14" s="456"/>
      <c r="P14" s="456"/>
      <c r="Q14" s="456"/>
      <c r="R14" s="456"/>
      <c r="S14" s="456"/>
      <c r="T14" s="456"/>
      <c r="U14" s="456"/>
      <c r="V14" s="456"/>
      <c r="W14" s="456"/>
      <c r="X14" s="456"/>
      <c r="Y14" s="456"/>
      <c r="Z14" s="456"/>
      <c r="AA14" s="456"/>
      <c r="AB14" s="456"/>
      <c r="AC14" s="456"/>
      <c r="AD14" s="456"/>
      <c r="AE14" s="456"/>
      <c r="AF14" s="456"/>
      <c r="AG14" s="456"/>
      <c r="AH14" s="456"/>
      <c r="AI14" s="456"/>
      <c r="AJ14" s="456"/>
      <c r="AK14" s="456"/>
      <c r="AL14" s="456"/>
      <c r="AM14" s="456"/>
      <c r="AN14" s="456"/>
      <c r="AO14" s="456"/>
      <c r="AP14" s="456"/>
      <c r="AQ14" s="456"/>
      <c r="AR14" s="456"/>
      <c r="AS14" s="456"/>
      <c r="AT14" s="456"/>
      <c r="AU14" s="456"/>
      <c r="AV14" s="456"/>
      <c r="AW14" s="456"/>
      <c r="AX14" s="456"/>
      <c r="AY14" s="456"/>
      <c r="AZ14" s="456"/>
      <c r="BA14" s="239"/>
    </row>
    <row r="15" spans="2:53" s="238" customFormat="1" ht="15" customHeight="1">
      <c r="B15" s="233"/>
      <c r="C15" s="457" t="s">
        <v>31</v>
      </c>
      <c r="D15" s="457"/>
      <c r="E15" s="456" t="s">
        <v>206</v>
      </c>
      <c r="F15" s="456"/>
      <c r="G15" s="456"/>
      <c r="H15" s="456"/>
      <c r="I15" s="456"/>
      <c r="J15" s="456"/>
      <c r="K15" s="456"/>
      <c r="L15" s="456"/>
      <c r="M15" s="456"/>
      <c r="N15" s="456"/>
      <c r="O15" s="456"/>
      <c r="P15" s="456"/>
      <c r="Q15" s="456"/>
      <c r="R15" s="456"/>
      <c r="S15" s="456"/>
      <c r="T15" s="456"/>
      <c r="U15" s="456"/>
      <c r="V15" s="456"/>
      <c r="W15" s="456"/>
      <c r="X15" s="456"/>
      <c r="Y15" s="456"/>
      <c r="Z15" s="456"/>
      <c r="AA15" s="456"/>
      <c r="AB15" s="456"/>
      <c r="AC15" s="456"/>
      <c r="AD15" s="456"/>
      <c r="AE15" s="456"/>
      <c r="AF15" s="456"/>
      <c r="AG15" s="456"/>
      <c r="AH15" s="456"/>
      <c r="AI15" s="456"/>
      <c r="AJ15" s="456"/>
      <c r="AK15" s="456"/>
      <c r="AL15" s="456"/>
      <c r="AM15" s="456"/>
      <c r="AN15" s="456"/>
      <c r="AO15" s="456"/>
      <c r="AP15" s="456"/>
      <c r="AQ15" s="456"/>
      <c r="AR15" s="456"/>
      <c r="AS15" s="456"/>
      <c r="AT15" s="456"/>
      <c r="AU15" s="456"/>
      <c r="AV15" s="456"/>
      <c r="AW15" s="456"/>
      <c r="AX15" s="456"/>
      <c r="AY15" s="456"/>
      <c r="AZ15" s="456"/>
      <c r="BA15" s="239"/>
    </row>
    <row r="16" spans="2:53" s="238" customFormat="1" ht="6" customHeight="1">
      <c r="B16" s="233"/>
      <c r="C16" s="240"/>
      <c r="D16" s="237"/>
      <c r="E16" s="237"/>
      <c r="F16" s="237"/>
      <c r="G16" s="237"/>
      <c r="H16" s="237"/>
      <c r="I16" s="237"/>
      <c r="J16" s="237"/>
      <c r="K16" s="237"/>
      <c r="L16" s="237"/>
      <c r="M16" s="237"/>
      <c r="N16" s="237"/>
      <c r="O16" s="237"/>
      <c r="P16" s="237"/>
      <c r="Q16" s="237"/>
      <c r="R16" s="237"/>
      <c r="S16" s="237"/>
      <c r="T16" s="237"/>
      <c r="U16" s="237"/>
      <c r="V16" s="237"/>
      <c r="W16" s="237"/>
      <c r="X16" s="237"/>
      <c r="Y16" s="237"/>
      <c r="Z16" s="237"/>
      <c r="AA16" s="237"/>
      <c r="AB16" s="237"/>
      <c r="AC16" s="237"/>
      <c r="AD16" s="237"/>
      <c r="AE16" s="237"/>
      <c r="AF16" s="237"/>
      <c r="AG16" s="237"/>
      <c r="AH16" s="237"/>
      <c r="AI16" s="237"/>
      <c r="AJ16" s="237"/>
      <c r="AK16" s="237"/>
      <c r="AL16" s="237"/>
      <c r="AM16" s="237"/>
      <c r="AN16" s="237"/>
      <c r="AO16" s="237"/>
      <c r="AP16" s="237"/>
      <c r="AQ16" s="237"/>
      <c r="AR16" s="237"/>
      <c r="AS16" s="237"/>
      <c r="AT16" s="237"/>
      <c r="AU16" s="237"/>
      <c r="AV16" s="237"/>
      <c r="AW16" s="237"/>
      <c r="AX16" s="237"/>
      <c r="AY16" s="237"/>
      <c r="AZ16" s="237"/>
      <c r="BA16" s="239"/>
    </row>
    <row r="17" spans="2:53" s="238" customFormat="1" ht="45" customHeight="1">
      <c r="B17" s="233" t="s">
        <v>134</v>
      </c>
      <c r="C17" s="458" t="s">
        <v>208</v>
      </c>
      <c r="D17" s="458"/>
      <c r="E17" s="458"/>
      <c r="F17" s="458"/>
      <c r="G17" s="458"/>
      <c r="H17" s="458"/>
      <c r="I17" s="458"/>
      <c r="J17" s="458"/>
      <c r="K17" s="458"/>
      <c r="L17" s="458"/>
      <c r="M17" s="458"/>
      <c r="N17" s="458"/>
      <c r="O17" s="458"/>
      <c r="P17" s="458"/>
      <c r="Q17" s="458"/>
      <c r="R17" s="458"/>
      <c r="S17" s="458"/>
      <c r="T17" s="458"/>
      <c r="U17" s="458"/>
      <c r="V17" s="458"/>
      <c r="W17" s="458"/>
      <c r="X17" s="458"/>
      <c r="Y17" s="458"/>
      <c r="Z17" s="458"/>
      <c r="AA17" s="458"/>
      <c r="AB17" s="458"/>
      <c r="AC17" s="458"/>
      <c r="AD17" s="458"/>
      <c r="AE17" s="458"/>
      <c r="AF17" s="458"/>
      <c r="AG17" s="458"/>
      <c r="AH17" s="458"/>
      <c r="AI17" s="458"/>
      <c r="AJ17" s="458"/>
      <c r="AK17" s="458"/>
      <c r="AL17" s="458"/>
      <c r="AM17" s="458"/>
      <c r="AN17" s="458"/>
      <c r="AO17" s="458"/>
      <c r="AP17" s="458"/>
      <c r="AQ17" s="458"/>
      <c r="AR17" s="458"/>
      <c r="AS17" s="458"/>
      <c r="AT17" s="458"/>
      <c r="AU17" s="458"/>
      <c r="AV17" s="458"/>
      <c r="AW17" s="458"/>
      <c r="AX17" s="458"/>
      <c r="AY17" s="458"/>
      <c r="AZ17" s="458"/>
      <c r="BA17" s="239"/>
    </row>
    <row r="18" spans="2:53" s="238" customFormat="1" ht="6" customHeight="1">
      <c r="B18" s="233"/>
      <c r="C18" s="237"/>
      <c r="D18" s="237"/>
      <c r="E18" s="237"/>
      <c r="F18" s="237"/>
      <c r="G18" s="237"/>
      <c r="H18" s="237"/>
      <c r="I18" s="237"/>
      <c r="J18" s="237"/>
      <c r="K18" s="237"/>
      <c r="L18" s="237"/>
      <c r="M18" s="237"/>
      <c r="N18" s="237"/>
      <c r="O18" s="237"/>
      <c r="P18" s="237"/>
      <c r="Q18" s="237"/>
      <c r="R18" s="237"/>
      <c r="S18" s="237"/>
      <c r="T18" s="237"/>
      <c r="U18" s="237"/>
      <c r="V18" s="237"/>
      <c r="W18" s="237"/>
      <c r="X18" s="237"/>
      <c r="Y18" s="237"/>
      <c r="Z18" s="237"/>
      <c r="AA18" s="237"/>
      <c r="AB18" s="237"/>
      <c r="AC18" s="237"/>
      <c r="AD18" s="237"/>
      <c r="AE18" s="237"/>
      <c r="AF18" s="237"/>
      <c r="AG18" s="237"/>
      <c r="AH18" s="237"/>
      <c r="AI18" s="237"/>
      <c r="AJ18" s="237"/>
      <c r="AK18" s="237"/>
      <c r="AL18" s="237"/>
      <c r="AM18" s="237"/>
      <c r="AN18" s="237"/>
      <c r="AO18" s="237"/>
      <c r="AP18" s="237"/>
      <c r="AQ18" s="237"/>
      <c r="AR18" s="237"/>
      <c r="AS18" s="237"/>
      <c r="AT18" s="237"/>
      <c r="AU18" s="237"/>
      <c r="AV18" s="237"/>
      <c r="AW18" s="237"/>
      <c r="AX18" s="237"/>
      <c r="AY18" s="237"/>
      <c r="AZ18" s="237"/>
      <c r="BA18" s="239"/>
    </row>
    <row r="19" spans="2:53" s="238" customFormat="1" ht="15" customHeight="1">
      <c r="B19" s="233" t="s">
        <v>135</v>
      </c>
      <c r="C19" s="458" t="s">
        <v>209</v>
      </c>
      <c r="D19" s="458"/>
      <c r="E19" s="458"/>
      <c r="F19" s="458"/>
      <c r="G19" s="458"/>
      <c r="H19" s="458"/>
      <c r="I19" s="458"/>
      <c r="J19" s="458"/>
      <c r="K19" s="458"/>
      <c r="L19" s="458"/>
      <c r="M19" s="458"/>
      <c r="N19" s="458"/>
      <c r="O19" s="458"/>
      <c r="P19" s="458"/>
      <c r="Q19" s="458"/>
      <c r="R19" s="458"/>
      <c r="S19" s="458"/>
      <c r="T19" s="458"/>
      <c r="U19" s="458"/>
      <c r="V19" s="458"/>
      <c r="W19" s="458"/>
      <c r="X19" s="458"/>
      <c r="Y19" s="458"/>
      <c r="Z19" s="458"/>
      <c r="AA19" s="458"/>
      <c r="AB19" s="458"/>
      <c r="AC19" s="458"/>
      <c r="AD19" s="458"/>
      <c r="AE19" s="458"/>
      <c r="AF19" s="458"/>
      <c r="AG19" s="458"/>
      <c r="AH19" s="458"/>
      <c r="AI19" s="458"/>
      <c r="AJ19" s="458"/>
      <c r="AK19" s="458"/>
      <c r="AL19" s="458"/>
      <c r="AM19" s="458"/>
      <c r="AN19" s="458"/>
      <c r="AO19" s="458"/>
      <c r="AP19" s="458"/>
      <c r="AQ19" s="458"/>
      <c r="AR19" s="458"/>
      <c r="AS19" s="458"/>
      <c r="AT19" s="458"/>
      <c r="AU19" s="458"/>
      <c r="AV19" s="458"/>
      <c r="AW19" s="458"/>
      <c r="AX19" s="458"/>
      <c r="AY19" s="458"/>
      <c r="AZ19" s="458"/>
      <c r="BA19" s="239"/>
    </row>
    <row r="20" spans="2:53" s="238" customFormat="1" ht="15" customHeight="1">
      <c r="B20" s="233"/>
      <c r="C20" s="244" t="s">
        <v>23</v>
      </c>
      <c r="D20" s="464" t="s">
        <v>210</v>
      </c>
      <c r="E20" s="464"/>
      <c r="F20" s="464"/>
      <c r="G20" s="464"/>
      <c r="H20" s="464"/>
      <c r="I20" s="464"/>
      <c r="J20" s="464"/>
      <c r="K20" s="464"/>
      <c r="L20" s="464"/>
      <c r="M20" s="464"/>
      <c r="N20" s="464"/>
      <c r="O20" s="464"/>
      <c r="P20" s="464"/>
      <c r="Q20" s="464"/>
      <c r="R20" s="464"/>
      <c r="S20" s="464"/>
      <c r="T20" s="464"/>
      <c r="U20" s="464"/>
      <c r="V20" s="464"/>
      <c r="W20" s="464"/>
      <c r="X20" s="464"/>
      <c r="Y20" s="464"/>
      <c r="Z20" s="464"/>
      <c r="AA20" s="464"/>
      <c r="AB20" s="464"/>
      <c r="AC20" s="464"/>
      <c r="AD20" s="464"/>
      <c r="AE20" s="464"/>
      <c r="AF20" s="464"/>
      <c r="AG20" s="464"/>
      <c r="AH20" s="464"/>
      <c r="AI20" s="464"/>
      <c r="AJ20" s="464"/>
      <c r="AK20" s="464"/>
      <c r="AL20" s="464"/>
      <c r="AM20" s="464"/>
      <c r="AN20" s="464"/>
      <c r="AO20" s="464"/>
      <c r="AP20" s="464"/>
      <c r="AQ20" s="464"/>
      <c r="AR20" s="464"/>
      <c r="AS20" s="464"/>
      <c r="AT20" s="464"/>
      <c r="AU20" s="464"/>
      <c r="AV20" s="464"/>
      <c r="AW20" s="464"/>
      <c r="AX20" s="464"/>
      <c r="AY20" s="464"/>
      <c r="AZ20" s="464"/>
      <c r="BA20" s="239"/>
    </row>
    <row r="21" spans="2:53" s="238" customFormat="1" ht="45" customHeight="1">
      <c r="B21" s="233"/>
      <c r="C21" s="244" t="s">
        <v>31</v>
      </c>
      <c r="D21" s="465" t="s">
        <v>211</v>
      </c>
      <c r="E21" s="464"/>
      <c r="F21" s="464"/>
      <c r="G21" s="464"/>
      <c r="H21" s="464"/>
      <c r="I21" s="464"/>
      <c r="J21" s="464"/>
      <c r="K21" s="464"/>
      <c r="L21" s="464"/>
      <c r="M21" s="464"/>
      <c r="N21" s="464"/>
      <c r="O21" s="464"/>
      <c r="P21" s="464"/>
      <c r="Q21" s="464"/>
      <c r="R21" s="464"/>
      <c r="S21" s="464"/>
      <c r="T21" s="464"/>
      <c r="U21" s="464"/>
      <c r="V21" s="464"/>
      <c r="W21" s="464"/>
      <c r="X21" s="464"/>
      <c r="Y21" s="464"/>
      <c r="Z21" s="464"/>
      <c r="AA21" s="464"/>
      <c r="AB21" s="464"/>
      <c r="AC21" s="464"/>
      <c r="AD21" s="464"/>
      <c r="AE21" s="464"/>
      <c r="AF21" s="464"/>
      <c r="AG21" s="464"/>
      <c r="AH21" s="464"/>
      <c r="AI21" s="464"/>
      <c r="AJ21" s="464"/>
      <c r="AK21" s="464"/>
      <c r="AL21" s="464"/>
      <c r="AM21" s="464"/>
      <c r="AN21" s="464"/>
      <c r="AO21" s="464"/>
      <c r="AP21" s="464"/>
      <c r="AQ21" s="464"/>
      <c r="AR21" s="464"/>
      <c r="AS21" s="464"/>
      <c r="AT21" s="464"/>
      <c r="AU21" s="464"/>
      <c r="AV21" s="464"/>
      <c r="AW21" s="464"/>
      <c r="AX21" s="464"/>
      <c r="AY21" s="464"/>
      <c r="AZ21" s="464"/>
      <c r="BA21" s="239"/>
    </row>
    <row r="22" spans="2:53" s="238" customFormat="1" ht="33" customHeight="1">
      <c r="B22" s="233"/>
      <c r="C22" s="244" t="s">
        <v>145</v>
      </c>
      <c r="D22" s="459" t="s">
        <v>239</v>
      </c>
      <c r="E22" s="459"/>
      <c r="F22" s="459"/>
      <c r="G22" s="459"/>
      <c r="H22" s="459"/>
      <c r="I22" s="459"/>
      <c r="J22" s="459"/>
      <c r="K22" s="459"/>
      <c r="L22" s="459"/>
      <c r="M22" s="459"/>
      <c r="N22" s="459"/>
      <c r="O22" s="459"/>
      <c r="P22" s="459"/>
      <c r="Q22" s="459"/>
      <c r="R22" s="459"/>
      <c r="S22" s="459"/>
      <c r="T22" s="459"/>
      <c r="U22" s="459"/>
      <c r="V22" s="459"/>
      <c r="W22" s="459"/>
      <c r="X22" s="459"/>
      <c r="Y22" s="459"/>
      <c r="Z22" s="459"/>
      <c r="AA22" s="459"/>
      <c r="AB22" s="459"/>
      <c r="AC22" s="459"/>
      <c r="AD22" s="459"/>
      <c r="AE22" s="459"/>
      <c r="AF22" s="459"/>
      <c r="AG22" s="459"/>
      <c r="AH22" s="459"/>
      <c r="AI22" s="459"/>
      <c r="AJ22" s="459"/>
      <c r="AK22" s="459"/>
      <c r="AL22" s="459"/>
      <c r="AM22" s="459"/>
      <c r="AN22" s="459"/>
      <c r="AO22" s="459"/>
      <c r="AP22" s="459"/>
      <c r="AQ22" s="459"/>
      <c r="AR22" s="459"/>
      <c r="AS22" s="459"/>
      <c r="AT22" s="459"/>
      <c r="AU22" s="459"/>
      <c r="AV22" s="459"/>
      <c r="AW22" s="459"/>
      <c r="AX22" s="459"/>
      <c r="AY22" s="459"/>
      <c r="AZ22" s="459"/>
      <c r="BA22" s="239"/>
    </row>
    <row r="23" spans="2:53" s="238" customFormat="1" ht="17.100000000000001" customHeight="1">
      <c r="B23" s="233"/>
      <c r="C23" s="241"/>
      <c r="D23" s="242" t="s">
        <v>187</v>
      </c>
      <c r="E23" s="455" t="s">
        <v>188</v>
      </c>
      <c r="F23" s="455"/>
      <c r="G23" s="455"/>
      <c r="H23" s="455"/>
      <c r="I23" s="455"/>
      <c r="J23" s="455"/>
      <c r="K23" s="455"/>
      <c r="L23" s="455"/>
      <c r="M23" s="455"/>
      <c r="N23" s="455"/>
      <c r="O23" s="455"/>
      <c r="P23" s="455"/>
      <c r="Q23" s="455"/>
      <c r="R23" s="455"/>
      <c r="S23" s="455"/>
      <c r="T23" s="455"/>
      <c r="U23" s="455"/>
      <c r="V23" s="455"/>
      <c r="W23" s="455"/>
      <c r="X23" s="455"/>
      <c r="Y23" s="455"/>
      <c r="Z23" s="455"/>
      <c r="AA23" s="455"/>
      <c r="AB23" s="455"/>
      <c r="AC23" s="455"/>
      <c r="AD23" s="455"/>
      <c r="AE23" s="455"/>
      <c r="AF23" s="455"/>
      <c r="AG23" s="455"/>
      <c r="AH23" s="455"/>
      <c r="AI23" s="455"/>
      <c r="AJ23" s="455"/>
      <c r="AK23" s="455"/>
      <c r="AL23" s="455"/>
      <c r="AM23" s="455"/>
      <c r="AN23" s="455"/>
      <c r="AO23" s="455"/>
      <c r="AP23" s="455"/>
      <c r="AQ23" s="455"/>
      <c r="AR23" s="455"/>
      <c r="AS23" s="455"/>
      <c r="AT23" s="455"/>
      <c r="AU23" s="455"/>
      <c r="AV23" s="455"/>
      <c r="AW23" s="455"/>
      <c r="AX23" s="455"/>
      <c r="AY23" s="455"/>
      <c r="AZ23" s="455"/>
      <c r="BA23" s="239"/>
    </row>
    <row r="24" spans="2:53" s="238" customFormat="1" ht="30" customHeight="1">
      <c r="B24" s="233"/>
      <c r="C24" s="241"/>
      <c r="D24" s="242" t="s">
        <v>187</v>
      </c>
      <c r="E24" s="460" t="s">
        <v>262</v>
      </c>
      <c r="F24" s="460"/>
      <c r="G24" s="460"/>
      <c r="H24" s="460"/>
      <c r="I24" s="460"/>
      <c r="J24" s="460"/>
      <c r="K24" s="460"/>
      <c r="L24" s="460"/>
      <c r="M24" s="460"/>
      <c r="N24" s="460"/>
      <c r="O24" s="460"/>
      <c r="P24" s="460"/>
      <c r="Q24" s="460"/>
      <c r="R24" s="460"/>
      <c r="S24" s="460"/>
      <c r="T24" s="460"/>
      <c r="U24" s="460"/>
      <c r="V24" s="460"/>
      <c r="W24" s="460"/>
      <c r="X24" s="460"/>
      <c r="Y24" s="460"/>
      <c r="Z24" s="460"/>
      <c r="AA24" s="460"/>
      <c r="AB24" s="460"/>
      <c r="AC24" s="460"/>
      <c r="AD24" s="460"/>
      <c r="AE24" s="460"/>
      <c r="AF24" s="460"/>
      <c r="AG24" s="460"/>
      <c r="AH24" s="460"/>
      <c r="AI24" s="460"/>
      <c r="AJ24" s="460"/>
      <c r="AK24" s="460"/>
      <c r="AL24" s="460"/>
      <c r="AM24" s="460"/>
      <c r="AN24" s="460"/>
      <c r="AO24" s="460"/>
      <c r="AP24" s="460"/>
      <c r="AQ24" s="460"/>
      <c r="AR24" s="460"/>
      <c r="AS24" s="460"/>
      <c r="AT24" s="460"/>
      <c r="AU24" s="460"/>
      <c r="AV24" s="460"/>
      <c r="AW24" s="460"/>
      <c r="AX24" s="460"/>
      <c r="AY24" s="460"/>
      <c r="AZ24" s="460"/>
      <c r="BA24" s="239"/>
    </row>
    <row r="25" spans="2:53" s="238" customFormat="1" ht="17.100000000000001" customHeight="1">
      <c r="B25" s="233"/>
      <c r="C25" s="241"/>
      <c r="D25" s="242" t="s">
        <v>187</v>
      </c>
      <c r="E25" s="455" t="s">
        <v>217</v>
      </c>
      <c r="F25" s="455"/>
      <c r="G25" s="455"/>
      <c r="H25" s="455"/>
      <c r="I25" s="455"/>
      <c r="J25" s="455"/>
      <c r="K25" s="455"/>
      <c r="L25" s="455"/>
      <c r="M25" s="455"/>
      <c r="N25" s="455"/>
      <c r="O25" s="455"/>
      <c r="P25" s="455"/>
      <c r="Q25" s="455"/>
      <c r="R25" s="455"/>
      <c r="S25" s="455"/>
      <c r="T25" s="455"/>
      <c r="U25" s="455"/>
      <c r="V25" s="455"/>
      <c r="W25" s="455"/>
      <c r="X25" s="455"/>
      <c r="Y25" s="455"/>
      <c r="Z25" s="455"/>
      <c r="AA25" s="455"/>
      <c r="AB25" s="455"/>
      <c r="AC25" s="455"/>
      <c r="AD25" s="455"/>
      <c r="AE25" s="455"/>
      <c r="AF25" s="455"/>
      <c r="AG25" s="455"/>
      <c r="AH25" s="455"/>
      <c r="AI25" s="455"/>
      <c r="AJ25" s="455"/>
      <c r="AK25" s="455"/>
      <c r="AL25" s="455"/>
      <c r="AM25" s="455"/>
      <c r="AN25" s="455"/>
      <c r="AO25" s="455"/>
      <c r="AP25" s="455"/>
      <c r="AQ25" s="455"/>
      <c r="AR25" s="455"/>
      <c r="AS25" s="455"/>
      <c r="AT25" s="455"/>
      <c r="AU25" s="455"/>
      <c r="AV25" s="455"/>
      <c r="AW25" s="455"/>
      <c r="AX25" s="455"/>
      <c r="AY25" s="455"/>
      <c r="AZ25" s="455"/>
      <c r="BA25" s="239"/>
    </row>
    <row r="26" spans="2:53" s="238" customFormat="1" ht="6" customHeight="1">
      <c r="B26" s="233"/>
      <c r="C26" s="241"/>
      <c r="D26" s="243"/>
      <c r="E26" s="243"/>
      <c r="F26" s="243"/>
      <c r="G26" s="243"/>
      <c r="H26" s="243"/>
      <c r="I26" s="243"/>
      <c r="J26" s="243"/>
      <c r="K26" s="243"/>
      <c r="L26" s="243"/>
      <c r="M26" s="243"/>
      <c r="N26" s="243"/>
      <c r="O26" s="243"/>
      <c r="P26" s="243"/>
      <c r="Q26" s="243"/>
      <c r="R26" s="243"/>
      <c r="S26" s="243"/>
      <c r="T26" s="243"/>
      <c r="U26" s="243"/>
      <c r="V26" s="243"/>
      <c r="W26" s="243"/>
      <c r="X26" s="243"/>
      <c r="Y26" s="243"/>
      <c r="Z26" s="243"/>
      <c r="AA26" s="243"/>
      <c r="AB26" s="243"/>
      <c r="AC26" s="243"/>
      <c r="AD26" s="243"/>
      <c r="AE26" s="243"/>
      <c r="AF26" s="243"/>
      <c r="AG26" s="243"/>
      <c r="AH26" s="243"/>
      <c r="AI26" s="243"/>
      <c r="AJ26" s="243"/>
      <c r="AK26" s="243"/>
      <c r="AL26" s="243"/>
      <c r="AM26" s="243"/>
      <c r="AN26" s="243"/>
      <c r="AO26" s="243"/>
      <c r="AP26" s="243"/>
      <c r="AQ26" s="243"/>
      <c r="AR26" s="243"/>
      <c r="AS26" s="243"/>
      <c r="AT26" s="243"/>
      <c r="AU26" s="243"/>
      <c r="AV26" s="243"/>
      <c r="AW26" s="243"/>
      <c r="AX26" s="243"/>
      <c r="AY26" s="243"/>
      <c r="AZ26" s="243"/>
      <c r="BA26" s="239"/>
    </row>
    <row r="27" spans="2:53" s="238" customFormat="1" ht="15" customHeight="1">
      <c r="B27" s="233" t="s">
        <v>137</v>
      </c>
      <c r="C27" s="459" t="s">
        <v>212</v>
      </c>
      <c r="D27" s="461"/>
      <c r="E27" s="461"/>
      <c r="F27" s="461"/>
      <c r="G27" s="461"/>
      <c r="H27" s="461"/>
      <c r="I27" s="461"/>
      <c r="J27" s="461"/>
      <c r="K27" s="461"/>
      <c r="L27" s="461"/>
      <c r="M27" s="461"/>
      <c r="N27" s="461"/>
      <c r="O27" s="461"/>
      <c r="P27" s="461"/>
      <c r="Q27" s="461"/>
      <c r="R27" s="461"/>
      <c r="S27" s="461"/>
      <c r="T27" s="461"/>
      <c r="U27" s="461"/>
      <c r="V27" s="461"/>
      <c r="W27" s="461"/>
      <c r="X27" s="461"/>
      <c r="Y27" s="461"/>
      <c r="Z27" s="461"/>
      <c r="AA27" s="461"/>
      <c r="AB27" s="461"/>
      <c r="AC27" s="461"/>
      <c r="AD27" s="461"/>
      <c r="AE27" s="461"/>
      <c r="AF27" s="461"/>
      <c r="AG27" s="461"/>
      <c r="AH27" s="461"/>
      <c r="AI27" s="461"/>
      <c r="AJ27" s="461"/>
      <c r="AK27" s="461"/>
      <c r="AL27" s="461"/>
      <c r="AM27" s="461"/>
      <c r="AN27" s="461"/>
      <c r="AO27" s="461"/>
      <c r="AP27" s="461"/>
      <c r="AQ27" s="461"/>
      <c r="AR27" s="461"/>
      <c r="AS27" s="461"/>
      <c r="AT27" s="461"/>
      <c r="AU27" s="461"/>
      <c r="AV27" s="461"/>
      <c r="AW27" s="461"/>
      <c r="AX27" s="461"/>
      <c r="AY27" s="461"/>
      <c r="AZ27" s="461"/>
      <c r="BA27" s="239"/>
    </row>
    <row r="28" spans="2:53" s="238" customFormat="1" ht="30" customHeight="1">
      <c r="B28" s="233"/>
      <c r="C28" s="242" t="s">
        <v>187</v>
      </c>
      <c r="D28" s="459" t="s">
        <v>213</v>
      </c>
      <c r="E28" s="459"/>
      <c r="F28" s="459"/>
      <c r="G28" s="459"/>
      <c r="H28" s="459"/>
      <c r="I28" s="459"/>
      <c r="J28" s="459"/>
      <c r="K28" s="459"/>
      <c r="L28" s="459"/>
      <c r="M28" s="459"/>
      <c r="N28" s="459"/>
      <c r="O28" s="459"/>
      <c r="P28" s="459"/>
      <c r="Q28" s="459"/>
      <c r="R28" s="459"/>
      <c r="S28" s="459"/>
      <c r="T28" s="459"/>
      <c r="U28" s="459"/>
      <c r="V28" s="459"/>
      <c r="W28" s="459"/>
      <c r="X28" s="459"/>
      <c r="Y28" s="459"/>
      <c r="Z28" s="459"/>
      <c r="AA28" s="459"/>
      <c r="AB28" s="459"/>
      <c r="AC28" s="459"/>
      <c r="AD28" s="459"/>
      <c r="AE28" s="459"/>
      <c r="AF28" s="459"/>
      <c r="AG28" s="459"/>
      <c r="AH28" s="459"/>
      <c r="AI28" s="459"/>
      <c r="AJ28" s="459"/>
      <c r="AK28" s="459"/>
      <c r="AL28" s="459"/>
      <c r="AM28" s="459"/>
      <c r="AN28" s="459"/>
      <c r="AO28" s="459"/>
      <c r="AP28" s="459"/>
      <c r="AQ28" s="459"/>
      <c r="AR28" s="459"/>
      <c r="AS28" s="459"/>
      <c r="AT28" s="459"/>
      <c r="AU28" s="459"/>
      <c r="AV28" s="459"/>
      <c r="AW28" s="459"/>
      <c r="AX28" s="459"/>
      <c r="AY28" s="459"/>
      <c r="AZ28" s="459"/>
      <c r="BA28" s="239"/>
    </row>
    <row r="29" spans="2:53" s="238" customFormat="1" ht="30" customHeight="1">
      <c r="B29" s="233"/>
      <c r="C29" s="242" t="s">
        <v>187</v>
      </c>
      <c r="D29" s="459" t="s">
        <v>214</v>
      </c>
      <c r="E29" s="459"/>
      <c r="F29" s="459"/>
      <c r="G29" s="459"/>
      <c r="H29" s="459"/>
      <c r="I29" s="459"/>
      <c r="J29" s="459"/>
      <c r="K29" s="459"/>
      <c r="L29" s="459"/>
      <c r="M29" s="459"/>
      <c r="N29" s="459"/>
      <c r="O29" s="459"/>
      <c r="P29" s="459"/>
      <c r="Q29" s="459"/>
      <c r="R29" s="459"/>
      <c r="S29" s="459"/>
      <c r="T29" s="459"/>
      <c r="U29" s="459"/>
      <c r="V29" s="459"/>
      <c r="W29" s="459"/>
      <c r="X29" s="459"/>
      <c r="Y29" s="459"/>
      <c r="Z29" s="459"/>
      <c r="AA29" s="459"/>
      <c r="AB29" s="459"/>
      <c r="AC29" s="459"/>
      <c r="AD29" s="459"/>
      <c r="AE29" s="459"/>
      <c r="AF29" s="459"/>
      <c r="AG29" s="459"/>
      <c r="AH29" s="459"/>
      <c r="AI29" s="459"/>
      <c r="AJ29" s="459"/>
      <c r="AK29" s="459"/>
      <c r="AL29" s="459"/>
      <c r="AM29" s="459"/>
      <c r="AN29" s="459"/>
      <c r="AO29" s="459"/>
      <c r="AP29" s="459"/>
      <c r="AQ29" s="459"/>
      <c r="AR29" s="459"/>
      <c r="AS29" s="459"/>
      <c r="AT29" s="459"/>
      <c r="AU29" s="459"/>
      <c r="AV29" s="459"/>
      <c r="AW29" s="459"/>
      <c r="AX29" s="459"/>
      <c r="AY29" s="459"/>
      <c r="AZ29" s="459"/>
      <c r="BA29" s="239"/>
    </row>
    <row r="30" spans="2:53" s="238" customFormat="1" ht="15" customHeight="1">
      <c r="B30" s="233"/>
      <c r="C30" s="242" t="s">
        <v>187</v>
      </c>
      <c r="D30" s="459" t="s">
        <v>215</v>
      </c>
      <c r="E30" s="459"/>
      <c r="F30" s="459"/>
      <c r="G30" s="459"/>
      <c r="H30" s="459"/>
      <c r="I30" s="459"/>
      <c r="J30" s="459"/>
      <c r="K30" s="459"/>
      <c r="L30" s="459"/>
      <c r="M30" s="459"/>
      <c r="N30" s="459"/>
      <c r="O30" s="459"/>
      <c r="P30" s="459"/>
      <c r="Q30" s="459"/>
      <c r="R30" s="459"/>
      <c r="S30" s="459"/>
      <c r="T30" s="459"/>
      <c r="U30" s="459"/>
      <c r="V30" s="459"/>
      <c r="W30" s="459"/>
      <c r="X30" s="459"/>
      <c r="Y30" s="459"/>
      <c r="Z30" s="459"/>
      <c r="AA30" s="459"/>
      <c r="AB30" s="459"/>
      <c r="AC30" s="459"/>
      <c r="AD30" s="459"/>
      <c r="AE30" s="459"/>
      <c r="AF30" s="459"/>
      <c r="AG30" s="459"/>
      <c r="AH30" s="459"/>
      <c r="AI30" s="459"/>
      <c r="AJ30" s="459"/>
      <c r="AK30" s="459"/>
      <c r="AL30" s="459"/>
      <c r="AM30" s="459"/>
      <c r="AN30" s="459"/>
      <c r="AO30" s="459"/>
      <c r="AP30" s="459"/>
      <c r="AQ30" s="459"/>
      <c r="AR30" s="459"/>
      <c r="AS30" s="459"/>
      <c r="AT30" s="459"/>
      <c r="AU30" s="459"/>
      <c r="AV30" s="459"/>
      <c r="AW30" s="459"/>
      <c r="AX30" s="459"/>
      <c r="AY30" s="459"/>
      <c r="AZ30" s="459"/>
      <c r="BA30" s="239"/>
    </row>
    <row r="31" spans="2:53" s="238" customFormat="1" ht="15" customHeight="1">
      <c r="B31" s="233"/>
      <c r="C31" s="242" t="s">
        <v>187</v>
      </c>
      <c r="D31" s="459" t="s">
        <v>216</v>
      </c>
      <c r="E31" s="459"/>
      <c r="F31" s="459"/>
      <c r="G31" s="459"/>
      <c r="H31" s="459"/>
      <c r="I31" s="459"/>
      <c r="J31" s="459"/>
      <c r="K31" s="459"/>
      <c r="L31" s="459"/>
      <c r="M31" s="459"/>
      <c r="N31" s="459"/>
      <c r="O31" s="459"/>
      <c r="P31" s="459"/>
      <c r="Q31" s="459"/>
      <c r="R31" s="459"/>
      <c r="S31" s="459"/>
      <c r="T31" s="459"/>
      <c r="U31" s="459"/>
      <c r="V31" s="459"/>
      <c r="W31" s="459"/>
      <c r="X31" s="459"/>
      <c r="Y31" s="459"/>
      <c r="Z31" s="459"/>
      <c r="AA31" s="459"/>
      <c r="AB31" s="459"/>
      <c r="AC31" s="459"/>
      <c r="AD31" s="459"/>
      <c r="AE31" s="459"/>
      <c r="AF31" s="459"/>
      <c r="AG31" s="459"/>
      <c r="AH31" s="459"/>
      <c r="AI31" s="459"/>
      <c r="AJ31" s="459"/>
      <c r="AK31" s="459"/>
      <c r="AL31" s="459"/>
      <c r="AM31" s="459"/>
      <c r="AN31" s="459"/>
      <c r="AO31" s="459"/>
      <c r="AP31" s="459"/>
      <c r="AQ31" s="459"/>
      <c r="AR31" s="459"/>
      <c r="AS31" s="459"/>
      <c r="AT31" s="459"/>
      <c r="AU31" s="459"/>
      <c r="AV31" s="459"/>
      <c r="AW31" s="459"/>
      <c r="AX31" s="459"/>
      <c r="AY31" s="459"/>
      <c r="AZ31" s="459"/>
      <c r="BA31" s="239"/>
    </row>
    <row r="32" spans="2:53" s="238" customFormat="1" ht="6" customHeight="1">
      <c r="B32" s="233"/>
      <c r="C32" s="241"/>
      <c r="D32" s="243"/>
      <c r="E32" s="243"/>
      <c r="F32" s="243"/>
      <c r="G32" s="243"/>
      <c r="H32" s="243"/>
      <c r="I32" s="243"/>
      <c r="J32" s="243"/>
      <c r="K32" s="243"/>
      <c r="L32" s="243"/>
      <c r="M32" s="243"/>
      <c r="N32" s="243"/>
      <c r="O32" s="243"/>
      <c r="P32" s="243"/>
      <c r="Q32" s="243"/>
      <c r="R32" s="243"/>
      <c r="S32" s="243"/>
      <c r="T32" s="243"/>
      <c r="U32" s="243"/>
      <c r="V32" s="243"/>
      <c r="W32" s="243"/>
      <c r="X32" s="243"/>
      <c r="Y32" s="243"/>
      <c r="Z32" s="243"/>
      <c r="AA32" s="243"/>
      <c r="AB32" s="243"/>
      <c r="AC32" s="243"/>
      <c r="AD32" s="243"/>
      <c r="AE32" s="243"/>
      <c r="AF32" s="243"/>
      <c r="AG32" s="243"/>
      <c r="AH32" s="243"/>
      <c r="AI32" s="243"/>
      <c r="AJ32" s="243"/>
      <c r="AK32" s="243"/>
      <c r="AL32" s="243"/>
      <c r="AM32" s="243"/>
      <c r="AN32" s="243"/>
      <c r="AO32" s="243"/>
      <c r="AP32" s="243"/>
      <c r="AQ32" s="243"/>
      <c r="AR32" s="243"/>
      <c r="AS32" s="243"/>
      <c r="AT32" s="243"/>
      <c r="AU32" s="243"/>
      <c r="AV32" s="243"/>
      <c r="AW32" s="243"/>
      <c r="AX32" s="243"/>
      <c r="AY32" s="243"/>
      <c r="AZ32" s="243"/>
      <c r="BA32" s="239"/>
    </row>
    <row r="33" spans="2:55" s="238" customFormat="1" ht="30" customHeight="1">
      <c r="B33" s="233" t="s">
        <v>138</v>
      </c>
      <c r="C33" s="459" t="s">
        <v>219</v>
      </c>
      <c r="D33" s="461"/>
      <c r="E33" s="461"/>
      <c r="F33" s="461"/>
      <c r="G33" s="461"/>
      <c r="H33" s="461"/>
      <c r="I33" s="461"/>
      <c r="J33" s="461"/>
      <c r="K33" s="461"/>
      <c r="L33" s="461"/>
      <c r="M33" s="461"/>
      <c r="N33" s="461"/>
      <c r="O33" s="461"/>
      <c r="P33" s="461"/>
      <c r="Q33" s="461"/>
      <c r="R33" s="461"/>
      <c r="S33" s="461"/>
      <c r="T33" s="461"/>
      <c r="U33" s="461"/>
      <c r="V33" s="461"/>
      <c r="W33" s="461"/>
      <c r="X33" s="461"/>
      <c r="Y33" s="461"/>
      <c r="Z33" s="461"/>
      <c r="AA33" s="461"/>
      <c r="AB33" s="461"/>
      <c r="AC33" s="461"/>
      <c r="AD33" s="461"/>
      <c r="AE33" s="461"/>
      <c r="AF33" s="461"/>
      <c r="AG33" s="461"/>
      <c r="AH33" s="461"/>
      <c r="AI33" s="461"/>
      <c r="AJ33" s="461"/>
      <c r="AK33" s="461"/>
      <c r="AL33" s="461"/>
      <c r="AM33" s="461"/>
      <c r="AN33" s="461"/>
      <c r="AO33" s="461"/>
      <c r="AP33" s="461"/>
      <c r="AQ33" s="461"/>
      <c r="AR33" s="461"/>
      <c r="AS33" s="461"/>
      <c r="AT33" s="461"/>
      <c r="AU33" s="461"/>
      <c r="AV33" s="461"/>
      <c r="AW33" s="461"/>
      <c r="AX33" s="461"/>
      <c r="AY33" s="461"/>
      <c r="AZ33" s="461"/>
      <c r="BA33" s="239"/>
      <c r="BC33" s="245"/>
    </row>
    <row r="34" spans="2:55" s="238" customFormat="1" ht="15" customHeight="1">
      <c r="B34" s="233"/>
      <c r="C34" s="462" t="s">
        <v>240</v>
      </c>
      <c r="D34" s="463"/>
      <c r="E34" s="463"/>
      <c r="F34" s="463"/>
      <c r="G34" s="463"/>
      <c r="H34" s="463"/>
      <c r="I34" s="463"/>
      <c r="J34" s="463"/>
      <c r="K34" s="463"/>
      <c r="L34" s="463"/>
      <c r="M34" s="463"/>
      <c r="N34" s="463"/>
      <c r="O34" s="463"/>
      <c r="P34" s="463"/>
      <c r="Q34" s="463"/>
      <c r="R34" s="463"/>
      <c r="S34" s="463"/>
      <c r="T34" s="463"/>
      <c r="U34" s="463"/>
      <c r="V34" s="463"/>
      <c r="W34" s="463"/>
      <c r="X34" s="463"/>
      <c r="Y34" s="463"/>
      <c r="Z34" s="463"/>
      <c r="AA34" s="463"/>
      <c r="AB34" s="463"/>
      <c r="AC34" s="463"/>
      <c r="AD34" s="463"/>
      <c r="AE34" s="463"/>
      <c r="AF34" s="463"/>
      <c r="AG34" s="463"/>
      <c r="AH34" s="463"/>
      <c r="AI34" s="463"/>
      <c r="AJ34" s="463"/>
      <c r="AK34" s="463"/>
      <c r="AL34" s="463"/>
      <c r="AM34" s="463"/>
      <c r="AN34" s="463"/>
      <c r="AO34" s="463"/>
      <c r="AP34" s="463"/>
      <c r="AQ34" s="463"/>
      <c r="AR34" s="463"/>
      <c r="AS34" s="463"/>
      <c r="AT34" s="463"/>
      <c r="AU34" s="463"/>
      <c r="AV34" s="463"/>
      <c r="AW34" s="463"/>
      <c r="AX34" s="463"/>
      <c r="AY34" s="463"/>
      <c r="AZ34" s="463"/>
      <c r="BA34" s="239"/>
      <c r="BC34" s="246" t="s">
        <v>222</v>
      </c>
    </row>
    <row r="35" spans="2:55" s="238" customFormat="1" ht="15" customHeight="1">
      <c r="B35" s="233"/>
      <c r="C35" s="462" t="s">
        <v>241</v>
      </c>
      <c r="D35" s="463"/>
      <c r="E35" s="463"/>
      <c r="F35" s="463"/>
      <c r="G35" s="463"/>
      <c r="H35" s="463"/>
      <c r="I35" s="463"/>
      <c r="J35" s="463"/>
      <c r="K35" s="463"/>
      <c r="L35" s="463"/>
      <c r="M35" s="463"/>
      <c r="N35" s="463"/>
      <c r="O35" s="463"/>
      <c r="P35" s="463"/>
      <c r="Q35" s="463"/>
      <c r="R35" s="463"/>
      <c r="S35" s="463"/>
      <c r="T35" s="463"/>
      <c r="U35" s="463"/>
      <c r="V35" s="463"/>
      <c r="W35" s="463"/>
      <c r="X35" s="463"/>
      <c r="Y35" s="463"/>
      <c r="Z35" s="463"/>
      <c r="AA35" s="463"/>
      <c r="AB35" s="463"/>
      <c r="AC35" s="463"/>
      <c r="AD35" s="463"/>
      <c r="AE35" s="463"/>
      <c r="AF35" s="463"/>
      <c r="AG35" s="463"/>
      <c r="AH35" s="463"/>
      <c r="AI35" s="463"/>
      <c r="AJ35" s="463"/>
      <c r="AK35" s="463"/>
      <c r="AL35" s="463"/>
      <c r="AM35" s="463"/>
      <c r="AN35" s="463"/>
      <c r="AO35" s="463"/>
      <c r="AP35" s="463"/>
      <c r="AQ35" s="463"/>
      <c r="AR35" s="463"/>
      <c r="AS35" s="463"/>
      <c r="AT35" s="463"/>
      <c r="AU35" s="463"/>
      <c r="AV35" s="463"/>
      <c r="AW35" s="463"/>
      <c r="AX35" s="463"/>
      <c r="AY35" s="463"/>
      <c r="AZ35" s="463"/>
      <c r="BA35" s="239"/>
      <c r="BC35" s="290" t="s">
        <v>220</v>
      </c>
    </row>
    <row r="36" spans="2:55" s="238" customFormat="1" ht="30" customHeight="1">
      <c r="B36" s="233"/>
      <c r="C36" s="462" t="s">
        <v>242</v>
      </c>
      <c r="D36" s="461"/>
      <c r="E36" s="461"/>
      <c r="F36" s="461"/>
      <c r="G36" s="461"/>
      <c r="H36" s="461"/>
      <c r="I36" s="461"/>
      <c r="J36" s="461"/>
      <c r="K36" s="461"/>
      <c r="L36" s="461"/>
      <c r="M36" s="461"/>
      <c r="N36" s="461"/>
      <c r="O36" s="461"/>
      <c r="P36" s="461"/>
      <c r="Q36" s="461"/>
      <c r="R36" s="461"/>
      <c r="S36" s="461"/>
      <c r="T36" s="461"/>
      <c r="U36" s="461"/>
      <c r="V36" s="461"/>
      <c r="W36" s="461"/>
      <c r="X36" s="461"/>
      <c r="Y36" s="461"/>
      <c r="Z36" s="461"/>
      <c r="AA36" s="461"/>
      <c r="AB36" s="461"/>
      <c r="AC36" s="461"/>
      <c r="AD36" s="461"/>
      <c r="AE36" s="461"/>
      <c r="AF36" s="461"/>
      <c r="AG36" s="461"/>
      <c r="AH36" s="461"/>
      <c r="AI36" s="461"/>
      <c r="AJ36" s="461"/>
      <c r="AK36" s="461"/>
      <c r="AL36" s="461"/>
      <c r="AM36" s="461"/>
      <c r="AN36" s="461"/>
      <c r="AO36" s="461"/>
      <c r="AP36" s="461"/>
      <c r="AQ36" s="461"/>
      <c r="AR36" s="461"/>
      <c r="AS36" s="461"/>
      <c r="AT36" s="461"/>
      <c r="AU36" s="461"/>
      <c r="AV36" s="461"/>
      <c r="AW36" s="461"/>
      <c r="AX36" s="461"/>
      <c r="AY36" s="461"/>
      <c r="AZ36" s="461"/>
      <c r="BA36" s="239"/>
      <c r="BC36" s="246" t="s">
        <v>221</v>
      </c>
    </row>
    <row r="37" spans="2:55" s="238" customFormat="1" ht="30" customHeight="1">
      <c r="B37" s="233"/>
      <c r="C37" s="459" t="s">
        <v>243</v>
      </c>
      <c r="D37" s="461"/>
      <c r="E37" s="461"/>
      <c r="F37" s="461"/>
      <c r="G37" s="461"/>
      <c r="H37" s="461"/>
      <c r="I37" s="461"/>
      <c r="J37" s="461"/>
      <c r="K37" s="461"/>
      <c r="L37" s="461"/>
      <c r="M37" s="461"/>
      <c r="N37" s="461"/>
      <c r="O37" s="461"/>
      <c r="P37" s="461"/>
      <c r="Q37" s="461"/>
      <c r="R37" s="461"/>
      <c r="S37" s="461"/>
      <c r="T37" s="461"/>
      <c r="U37" s="461"/>
      <c r="V37" s="461"/>
      <c r="W37" s="461"/>
      <c r="X37" s="461"/>
      <c r="Y37" s="461"/>
      <c r="Z37" s="461"/>
      <c r="AA37" s="461"/>
      <c r="AB37" s="461"/>
      <c r="AC37" s="461"/>
      <c r="AD37" s="461"/>
      <c r="AE37" s="461"/>
      <c r="AF37" s="461"/>
      <c r="AG37" s="461"/>
      <c r="AH37" s="461"/>
      <c r="AI37" s="461"/>
      <c r="AJ37" s="461"/>
      <c r="AK37" s="461"/>
      <c r="AL37" s="461"/>
      <c r="AM37" s="461"/>
      <c r="AN37" s="461"/>
      <c r="AO37" s="461"/>
      <c r="AP37" s="461"/>
      <c r="AQ37" s="461"/>
      <c r="AR37" s="461"/>
      <c r="AS37" s="461"/>
      <c r="AT37" s="461"/>
      <c r="AU37" s="461"/>
      <c r="AV37" s="461"/>
      <c r="AW37" s="461"/>
      <c r="AX37" s="461"/>
      <c r="AY37" s="461"/>
      <c r="AZ37" s="461"/>
      <c r="BA37" s="239"/>
      <c r="BC37" s="246" t="s">
        <v>220</v>
      </c>
    </row>
    <row r="38" spans="2:55" s="238" customFormat="1" ht="30" customHeight="1">
      <c r="B38" s="233"/>
      <c r="C38" s="459" t="s">
        <v>244</v>
      </c>
      <c r="D38" s="461"/>
      <c r="E38" s="461"/>
      <c r="F38" s="461"/>
      <c r="G38" s="461"/>
      <c r="H38" s="461"/>
      <c r="I38" s="461"/>
      <c r="J38" s="461"/>
      <c r="K38" s="461"/>
      <c r="L38" s="461"/>
      <c r="M38" s="461"/>
      <c r="N38" s="461"/>
      <c r="O38" s="461"/>
      <c r="P38" s="461"/>
      <c r="Q38" s="461"/>
      <c r="R38" s="461"/>
      <c r="S38" s="461"/>
      <c r="T38" s="461"/>
      <c r="U38" s="461"/>
      <c r="V38" s="461"/>
      <c r="W38" s="461"/>
      <c r="X38" s="461"/>
      <c r="Y38" s="461"/>
      <c r="Z38" s="461"/>
      <c r="AA38" s="461"/>
      <c r="AB38" s="461"/>
      <c r="AC38" s="461"/>
      <c r="AD38" s="461"/>
      <c r="AE38" s="461"/>
      <c r="AF38" s="461"/>
      <c r="AG38" s="461"/>
      <c r="AH38" s="461"/>
      <c r="AI38" s="461"/>
      <c r="AJ38" s="461"/>
      <c r="AK38" s="461"/>
      <c r="AL38" s="461"/>
      <c r="AM38" s="461"/>
      <c r="AN38" s="461"/>
      <c r="AO38" s="461"/>
      <c r="AP38" s="461"/>
      <c r="AQ38" s="461"/>
      <c r="AR38" s="461"/>
      <c r="AS38" s="461"/>
      <c r="AT38" s="461"/>
      <c r="AU38" s="461"/>
      <c r="AV38" s="461"/>
      <c r="AW38" s="461"/>
      <c r="AX38" s="461"/>
      <c r="AY38" s="461"/>
      <c r="AZ38" s="461"/>
      <c r="BA38" s="239"/>
      <c r="BC38" s="246" t="s">
        <v>220</v>
      </c>
    </row>
    <row r="39" spans="2:55" s="238" customFormat="1" ht="6" customHeight="1">
      <c r="B39" s="233"/>
      <c r="C39" s="241"/>
      <c r="D39" s="243"/>
      <c r="E39" s="243"/>
      <c r="F39" s="243"/>
      <c r="G39" s="243"/>
      <c r="H39" s="243"/>
      <c r="I39" s="243"/>
      <c r="J39" s="243"/>
      <c r="K39" s="243"/>
      <c r="L39" s="243"/>
      <c r="M39" s="243"/>
      <c r="N39" s="243"/>
      <c r="O39" s="243"/>
      <c r="P39" s="243"/>
      <c r="Q39" s="243"/>
      <c r="R39" s="243"/>
      <c r="S39" s="243"/>
      <c r="T39" s="243"/>
      <c r="U39" s="243"/>
      <c r="V39" s="243"/>
      <c r="W39" s="243"/>
      <c r="X39" s="243"/>
      <c r="Y39" s="243"/>
      <c r="Z39" s="243"/>
      <c r="AA39" s="243"/>
      <c r="AB39" s="243"/>
      <c r="AC39" s="243"/>
      <c r="AD39" s="243"/>
      <c r="AE39" s="243"/>
      <c r="AF39" s="243"/>
      <c r="AG39" s="243"/>
      <c r="AH39" s="243"/>
      <c r="AI39" s="243"/>
      <c r="AJ39" s="243"/>
      <c r="AK39" s="243"/>
      <c r="AL39" s="243"/>
      <c r="AM39" s="243"/>
      <c r="AN39" s="243"/>
      <c r="AO39" s="243"/>
      <c r="AP39" s="243"/>
      <c r="AQ39" s="243"/>
      <c r="AR39" s="243"/>
      <c r="AS39" s="243"/>
      <c r="AT39" s="243"/>
      <c r="AU39" s="243"/>
      <c r="AV39" s="243"/>
      <c r="AW39" s="243"/>
      <c r="AX39" s="243"/>
      <c r="AY39" s="243"/>
      <c r="AZ39" s="243"/>
      <c r="BA39" s="239"/>
    </row>
    <row r="40" spans="2:55" s="238" customFormat="1" ht="35.1" customHeight="1">
      <c r="B40" s="233" t="s">
        <v>139</v>
      </c>
      <c r="C40" s="459" t="s">
        <v>218</v>
      </c>
      <c r="D40" s="459"/>
      <c r="E40" s="459"/>
      <c r="F40" s="459"/>
      <c r="G40" s="459"/>
      <c r="H40" s="459"/>
      <c r="I40" s="459"/>
      <c r="J40" s="459"/>
      <c r="K40" s="459"/>
      <c r="L40" s="459"/>
      <c r="M40" s="459"/>
      <c r="N40" s="459"/>
      <c r="O40" s="459"/>
      <c r="P40" s="459"/>
      <c r="Q40" s="459"/>
      <c r="R40" s="459"/>
      <c r="S40" s="459"/>
      <c r="T40" s="459"/>
      <c r="U40" s="459"/>
      <c r="V40" s="459"/>
      <c r="W40" s="459"/>
      <c r="X40" s="459"/>
      <c r="Y40" s="459"/>
      <c r="Z40" s="459"/>
      <c r="AA40" s="459"/>
      <c r="AB40" s="459"/>
      <c r="AC40" s="459"/>
      <c r="AD40" s="459"/>
      <c r="AE40" s="459"/>
      <c r="AF40" s="459"/>
      <c r="AG40" s="459"/>
      <c r="AH40" s="459"/>
      <c r="AI40" s="459"/>
      <c r="AJ40" s="459"/>
      <c r="AK40" s="459"/>
      <c r="AL40" s="459"/>
      <c r="AM40" s="459"/>
      <c r="AN40" s="459"/>
      <c r="AO40" s="459"/>
      <c r="AP40" s="459"/>
      <c r="AQ40" s="459"/>
      <c r="AR40" s="459"/>
      <c r="AS40" s="459"/>
      <c r="AT40" s="459"/>
      <c r="AU40" s="459"/>
      <c r="AV40" s="459"/>
      <c r="AW40" s="459"/>
      <c r="AX40" s="459"/>
      <c r="AY40" s="459"/>
      <c r="AZ40" s="459"/>
      <c r="BA40" s="239"/>
    </row>
    <row r="41" spans="2:55" s="238" customFormat="1" ht="6" customHeight="1">
      <c r="B41" s="239"/>
      <c r="C41" s="239"/>
      <c r="D41" s="239"/>
      <c r="E41" s="239"/>
      <c r="F41" s="239"/>
      <c r="G41" s="239"/>
      <c r="H41" s="239"/>
      <c r="I41" s="239"/>
      <c r="J41" s="239"/>
      <c r="K41" s="239"/>
      <c r="L41" s="239"/>
      <c r="M41" s="239"/>
      <c r="N41" s="239"/>
      <c r="O41" s="239"/>
      <c r="P41" s="239"/>
      <c r="Q41" s="239"/>
      <c r="R41" s="239"/>
      <c r="S41" s="239"/>
      <c r="T41" s="239"/>
      <c r="U41" s="239"/>
      <c r="V41" s="239"/>
      <c r="W41" s="239"/>
      <c r="X41" s="239"/>
      <c r="Y41" s="239"/>
      <c r="Z41" s="239"/>
      <c r="AA41" s="239"/>
      <c r="AB41" s="239"/>
      <c r="AC41" s="239"/>
      <c r="AD41" s="239"/>
      <c r="AE41" s="239"/>
      <c r="AF41" s="239"/>
      <c r="AG41" s="239"/>
      <c r="AH41" s="239"/>
      <c r="AI41" s="239"/>
      <c r="AJ41" s="239"/>
      <c r="AK41" s="239"/>
      <c r="AL41" s="239"/>
      <c r="AM41" s="239"/>
      <c r="AN41" s="239"/>
      <c r="AO41" s="239"/>
      <c r="AP41" s="239"/>
      <c r="AQ41" s="239"/>
      <c r="AR41" s="239"/>
      <c r="AS41" s="239"/>
      <c r="AT41" s="239"/>
      <c r="AU41" s="239"/>
      <c r="AV41" s="239"/>
      <c r="AW41" s="239"/>
      <c r="AX41" s="239"/>
      <c r="AY41" s="239"/>
      <c r="AZ41" s="239"/>
      <c r="BA41" s="239"/>
    </row>
  </sheetData>
  <sheetProtection password="801E" sheet="1" objects="1" scenarios="1"/>
  <mergeCells count="32">
    <mergeCell ref="C17:AZ17"/>
    <mergeCell ref="D20:AZ20"/>
    <mergeCell ref="D21:AZ21"/>
    <mergeCell ref="D22:AZ22"/>
    <mergeCell ref="D28:AZ28"/>
    <mergeCell ref="C19:AZ19"/>
    <mergeCell ref="D29:AZ29"/>
    <mergeCell ref="E23:AZ23"/>
    <mergeCell ref="E24:AZ24"/>
    <mergeCell ref="E25:AZ25"/>
    <mergeCell ref="C40:AZ40"/>
    <mergeCell ref="C27:AZ27"/>
    <mergeCell ref="C33:AZ33"/>
    <mergeCell ref="D30:AZ30"/>
    <mergeCell ref="D31:AZ31"/>
    <mergeCell ref="C34:AZ34"/>
    <mergeCell ref="C35:AZ35"/>
    <mergeCell ref="C36:AZ36"/>
    <mergeCell ref="C37:AZ37"/>
    <mergeCell ref="C38:AZ38"/>
    <mergeCell ref="C2:AZ2"/>
    <mergeCell ref="C4:AZ4"/>
    <mergeCell ref="C6:AZ6"/>
    <mergeCell ref="C8:AZ8"/>
    <mergeCell ref="C10:AZ10"/>
    <mergeCell ref="D11:AZ11"/>
    <mergeCell ref="D12:AZ12"/>
    <mergeCell ref="D13:AZ13"/>
    <mergeCell ref="E14:AZ14"/>
    <mergeCell ref="E15:AZ15"/>
    <mergeCell ref="C14:D14"/>
    <mergeCell ref="C15:D15"/>
  </mergeCells>
  <hyperlinks>
    <hyperlink ref="BC34" r:id="rId1" xr:uid="{00000000-0004-0000-0200-000000000000}"/>
    <hyperlink ref="BC36" r:id="rId2" xr:uid="{00000000-0004-0000-0200-000001000000}"/>
    <hyperlink ref="BC37" r:id="rId3" xr:uid="{00000000-0004-0000-0200-000002000000}"/>
    <hyperlink ref="BC38" r:id="rId4" xr:uid="{00000000-0004-0000-0200-000003000000}"/>
    <hyperlink ref="BC35" r:id="rId5" xr:uid="{00000000-0004-0000-0200-000004000000}"/>
  </hyperlinks>
  <printOptions horizontalCentered="1"/>
  <pageMargins left="0.39370078740157483" right="0.39370078740157483" top="0.39370078740157483" bottom="0.39370078740157483" header="0" footer="0"/>
  <pageSetup paperSize="9" orientation="portrait"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dimension ref="A1:Z107"/>
  <sheetViews>
    <sheetView tabSelected="1" workbookViewId="0">
      <selection activeCell="C14" sqref="C14"/>
    </sheetView>
  </sheetViews>
  <sheetFormatPr defaultColWidth="9.109375" defaultRowHeight="13.2"/>
  <cols>
    <col min="1" max="2" width="25.6640625" style="49" customWidth="1"/>
    <col min="3" max="3" width="24.6640625" style="49" customWidth="1"/>
    <col min="4" max="4" width="11.88671875" style="49" customWidth="1"/>
    <col min="5" max="5" width="8.33203125" style="96" hidden="1" customWidth="1"/>
    <col min="6" max="6" width="8.33203125" style="49" customWidth="1"/>
    <col min="7" max="7" width="9.44140625" style="65" bestFit="1" customWidth="1"/>
    <col min="8" max="9" width="9.109375" style="65"/>
    <col min="10" max="10" width="33.109375" style="49" customWidth="1"/>
    <col min="11" max="13" width="9.109375" style="49" hidden="1" customWidth="1"/>
    <col min="14" max="15" width="11.6640625" style="49" hidden="1" customWidth="1"/>
    <col min="16" max="16" width="7.6640625" style="49" hidden="1" customWidth="1"/>
    <col min="17" max="17" width="14.109375" style="49" hidden="1" customWidth="1"/>
    <col min="18" max="18" width="10.109375" style="49" hidden="1" customWidth="1"/>
    <col min="19" max="21" width="9.109375" style="49" hidden="1" customWidth="1"/>
    <col min="22" max="27" width="9.109375" style="49" customWidth="1"/>
    <col min="28" max="16384" width="9.109375" style="49"/>
  </cols>
  <sheetData>
    <row r="1" spans="1:26" ht="6" customHeight="1" thickBot="1"/>
    <row r="2" spans="1:26" ht="69" customHeight="1" thickBot="1">
      <c r="A2" s="389"/>
      <c r="B2" s="472" t="s">
        <v>88</v>
      </c>
      <c r="C2" s="472"/>
      <c r="D2" s="473"/>
      <c r="F2" s="288"/>
      <c r="K2" s="474" t="str">
        <f>IF(doba="určitá",IF(AND(zamest=TRUE,C7&lt;DATE(Q5,8,31)),CONCATENATE("V prípade, že sa poisťujú aj žiaci aj učitelia na dobu určitú, odporúčame ako dátum konca poistenia uviesť 31.8.",Q5),""),"")</f>
        <v/>
      </c>
      <c r="L2" s="474"/>
      <c r="M2" s="474"/>
      <c r="N2" s="474"/>
      <c r="O2" s="474"/>
      <c r="P2" s="474"/>
      <c r="Q2" s="474"/>
      <c r="R2" s="474"/>
      <c r="S2" s="474"/>
      <c r="T2" s="474"/>
      <c r="U2" s="474"/>
      <c r="V2" s="474"/>
      <c r="W2" s="474"/>
      <c r="X2" s="474"/>
      <c r="Y2" s="474"/>
      <c r="Z2" s="474"/>
    </row>
    <row r="3" spans="1:26" ht="13.8" thickBot="1">
      <c r="T3" s="102" t="s">
        <v>92</v>
      </c>
      <c r="U3" s="102" t="s">
        <v>93</v>
      </c>
    </row>
    <row r="4" spans="1:26" ht="17.399999999999999">
      <c r="A4" s="78"/>
      <c r="B4" s="79"/>
      <c r="C4" s="91" t="s">
        <v>71</v>
      </c>
      <c r="D4" s="80"/>
      <c r="G4" s="101" t="str">
        <f ca="1">IF(SUM(COUNTBLANK(G5:G11),COUNTBLANK(G13:G21),COUNTBLANK(G25:G30),COUNTBLANK(G34:G35),COUNTBLANK(G39:G42))&lt;28,"CHYBA!","O.K.")</f>
        <v>O.K.</v>
      </c>
      <c r="H4" s="101"/>
      <c r="I4" s="101"/>
      <c r="M4" s="99" t="s">
        <v>91</v>
      </c>
      <c r="N4" s="98">
        <f>C5</f>
        <v>44805</v>
      </c>
      <c r="O4" s="98"/>
      <c r="Q4" s="100">
        <f>DATE(YEAR(C5),8,31)</f>
        <v>44804</v>
      </c>
      <c r="R4" s="104">
        <f>DATE(YEAR(C5)+1,MONTH(C5),DAY(C5)-1)</f>
        <v>45169</v>
      </c>
      <c r="T4" s="103">
        <v>1</v>
      </c>
      <c r="U4" s="103">
        <f>MONTH(N4)</f>
        <v>9</v>
      </c>
      <c r="V4" s="74" t="str">
        <f>IF(COUNTIF(U4:U16,7),"jul","")</f>
        <v>jul</v>
      </c>
    </row>
    <row r="5" spans="1:26" ht="15" customHeight="1">
      <c r="A5" s="68"/>
      <c r="B5" s="69" t="s">
        <v>72</v>
      </c>
      <c r="C5" s="289">
        <v>44805</v>
      </c>
      <c r="D5" s="70"/>
      <c r="E5" s="222"/>
      <c r="G5" s="65" t="str">
        <f ca="1">IF(C5&lt;TODAY()-10,"Začiatok poistenia má spätný dátum viac ako 10 dní!!",IF(AND(doba="určitá",C5&gt;C7),"Dátum začiatku je väčší ako dátum konca poistenia!",IF(AND(doba="neurčitá",C5&gt;C8),"Dátum začiatku je väčší ako dátum konca poistenia!",IF(AND(OR(typ_skoly="škola",typ_skoly="odborná",typ_skoly="športová"),OR(MONTH(C5)=7,MONTH(C5)=8)),"Začiatok poistenia môže byť až v septembri!",""))))</f>
        <v/>
      </c>
      <c r="M5" s="99" t="s">
        <v>97</v>
      </c>
      <c r="N5" s="98">
        <f>IF(doba="neurčitá",t,C7)</f>
        <v>45169</v>
      </c>
      <c r="O5" s="98"/>
      <c r="Q5" s="49">
        <f>IF(Q4&lt;N4,YEAR(N4)+1,YEAR(N4))</f>
        <v>2023</v>
      </c>
      <c r="T5" s="108">
        <f>IF(T4&lt;&gt;"",IF($N$8&gt;T4,T4+1,IF($N$8=T4,"",$N$8)),"")</f>
        <v>2</v>
      </c>
      <c r="U5" s="103">
        <f>IF(T5&lt;&gt;"",IF($N$6-T4&gt;0,IF(U4&lt;12,U4+1,IF(U4=12,1,U4+1)),0),"")</f>
        <v>10</v>
      </c>
      <c r="V5" s="74" t="str">
        <f>IF(COUNTIF(U4:U16,8),"august","")</f>
        <v>august</v>
      </c>
    </row>
    <row r="6" spans="1:26" ht="15" customHeight="1">
      <c r="A6" s="68"/>
      <c r="B6" s="69" t="s">
        <v>73</v>
      </c>
      <c r="C6" s="299" t="s">
        <v>328</v>
      </c>
      <c r="D6" s="70"/>
      <c r="G6" s="65" t="str">
        <f>IF(doba="","Doplniť dobu poistenia!","")</f>
        <v/>
      </c>
      <c r="M6" s="99" t="s">
        <v>98</v>
      </c>
      <c r="N6" s="98">
        <f>IF(doba="neurčitá",t,C7)</f>
        <v>45169</v>
      </c>
      <c r="O6" s="98"/>
      <c r="T6" s="108">
        <f t="shared" ref="T6:T16" si="0">IF(T5&lt;&gt;"",IF($N$8&gt;T5,T5+1,IF($N$8=T5,"",$N$8)),"")</f>
        <v>3</v>
      </c>
      <c r="U6" s="103">
        <f t="shared" ref="U6:U16" si="1">IF(T6&lt;&gt;"",IF($N$6-T5&gt;0,IF(U5&lt;12,U5+1,IF(U5=12,1,U5+1)),0),"")</f>
        <v>11</v>
      </c>
      <c r="V6" s="74" t="str">
        <f>IF(AND(COUNTIF(U4:U16,7),COUNTIF(U4:U16,8)),"áno","")</f>
        <v>áno</v>
      </c>
    </row>
    <row r="7" spans="1:26" ht="13.95" customHeight="1">
      <c r="A7" s="68"/>
      <c r="B7" s="69" t="s">
        <v>74</v>
      </c>
      <c r="C7" s="137">
        <v>45169</v>
      </c>
      <c r="D7" s="70"/>
      <c r="G7" s="65" t="str">
        <f>IF(AND(doba="určitá",C7=""),"Doplniť dátum konca poistenia!",IF(C7&gt;R4,"Úrazové poistenie žiakov je možné dojednať  max. na dobu 1 roka!",IF(AND(doba="neurčitá",C7&lt;&gt;""),"Nevypĺňať dátum konca poistenia!","")))</f>
        <v/>
      </c>
      <c r="M7" s="99" t="s">
        <v>95</v>
      </c>
      <c r="N7" s="49">
        <f>IF(OR(AND(typ_skoly&lt;&gt;"materská",zamest=TRUE,V6="áno"),AND(typ_skoly&lt;&gt;"materská",V6="áno")),pocet_obdobi(N4,N5,12)-2,pocet_obdobi(N4,N5,12))</f>
        <v>10</v>
      </c>
      <c r="T7" s="108">
        <f t="shared" si="0"/>
        <v>4</v>
      </c>
      <c r="U7" s="103">
        <f t="shared" si="1"/>
        <v>12</v>
      </c>
    </row>
    <row r="8" spans="1:26" ht="13.95" hidden="1" customHeight="1">
      <c r="A8" s="68"/>
      <c r="B8" s="69" t="s">
        <v>76</v>
      </c>
      <c r="C8" s="66" t="str">
        <f>IF(doba="neurčitá",IF(zamest=TRUE,DATE(Q5,8,31),IF(typ_skoly="materská",DATE(Q5,8,31),DATE(Q5,6,30))),"")</f>
        <v/>
      </c>
      <c r="D8" s="70"/>
      <c r="M8" s="99" t="s">
        <v>96</v>
      </c>
      <c r="N8" s="49">
        <f>pocet_obdobi(N4,N6,12)</f>
        <v>12</v>
      </c>
      <c r="Q8" s="75"/>
      <c r="T8" s="108">
        <f t="shared" si="0"/>
        <v>5</v>
      </c>
      <c r="U8" s="103">
        <f t="shared" si="1"/>
        <v>1</v>
      </c>
    </row>
    <row r="9" spans="1:26" ht="13.95" customHeight="1">
      <c r="A9" s="68"/>
      <c r="B9" s="69" t="s">
        <v>75</v>
      </c>
      <c r="C9" s="299" t="s">
        <v>2</v>
      </c>
      <c r="D9" s="70"/>
      <c r="G9" s="65" t="str">
        <f>IF(C9="","Doplniť typ školy!","")</f>
        <v/>
      </c>
      <c r="T9" s="108">
        <f t="shared" si="0"/>
        <v>6</v>
      </c>
      <c r="U9" s="103">
        <f t="shared" si="1"/>
        <v>2</v>
      </c>
    </row>
    <row r="10" spans="1:26" ht="15" customHeight="1" thickBot="1">
      <c r="A10" s="76"/>
      <c r="B10" s="111" t="s">
        <v>223</v>
      </c>
      <c r="C10" s="248" t="s">
        <v>331</v>
      </c>
      <c r="D10" s="77"/>
      <c r="G10" s="65" t="str">
        <f>IF(C10="","Vybrať druh avíza!","")</f>
        <v/>
      </c>
      <c r="T10" s="247"/>
      <c r="U10" s="103"/>
    </row>
    <row r="11" spans="1:26" ht="13.8" thickBot="1">
      <c r="G11" s="65" t="str">
        <f>IF(doba="neurčitá","",IF(C7-C5&lt;180,"Doba poistenia je príliš krátka! Upravte dátum konca poistenia (Bunka C7).",""))</f>
        <v/>
      </c>
      <c r="T11" s="108">
        <f>IF(T9&lt;&gt;"",IF($N$8&gt;T9,T9+1,IF($N$8=T9,"",$N$8)),"")</f>
        <v>7</v>
      </c>
      <c r="U11" s="103">
        <f>IF(T11&lt;&gt;"",IF($N$6-T9&gt;0,IF(U9&lt;12,U9+1,IF(U9=12,1,U9+1)),0),"")</f>
        <v>3</v>
      </c>
    </row>
    <row r="12" spans="1:26" ht="17.850000000000001" customHeight="1" thickBot="1">
      <c r="A12" s="55"/>
      <c r="B12" s="56"/>
      <c r="C12" s="57" t="s">
        <v>77</v>
      </c>
      <c r="D12" s="58"/>
      <c r="N12" s="467" t="s">
        <v>94</v>
      </c>
      <c r="O12" s="467" t="str">
        <f>IF(zlavy=TRUE,"Zľava","")</f>
        <v/>
      </c>
      <c r="P12" s="103"/>
      <c r="Q12" s="468" t="str">
        <f>IF(C6="určitá","Poistné za poistné obdobie ","Alikvótne poistné ")</f>
        <v xml:space="preserve">Poistné za poistné obdobie </v>
      </c>
      <c r="R12" s="467" t="str">
        <f>IF(zlavy=TRUE,"Zľava","")</f>
        <v/>
      </c>
      <c r="T12" s="108">
        <f t="shared" si="0"/>
        <v>8</v>
      </c>
      <c r="U12" s="103">
        <f t="shared" si="1"/>
        <v>4</v>
      </c>
    </row>
    <row r="13" spans="1:26" ht="15" customHeight="1" thickBot="1">
      <c r="A13" s="68"/>
      <c r="B13" s="69" t="s">
        <v>78</v>
      </c>
      <c r="C13" s="113">
        <v>100</v>
      </c>
      <c r="D13" s="70"/>
      <c r="G13" s="660" t="str">
        <f>IF(C13="","Doplniť počet žiakov!",IF(C13&gt;500,"Pre vypracovanie ponuky kontaktujte podporu obchod@union.sk!",""))</f>
        <v/>
      </c>
      <c r="N13" s="468"/>
      <c r="O13" s="468"/>
      <c r="P13" s="103"/>
      <c r="Q13" s="468"/>
      <c r="R13" s="468"/>
      <c r="T13" s="108">
        <f t="shared" si="0"/>
        <v>9</v>
      </c>
      <c r="U13" s="103">
        <f t="shared" si="1"/>
        <v>5</v>
      </c>
    </row>
    <row r="14" spans="1:26" ht="13.8">
      <c r="A14" s="78"/>
      <c r="B14" s="79"/>
      <c r="C14" s="81" t="s">
        <v>79</v>
      </c>
      <c r="D14" s="82" t="s">
        <v>62</v>
      </c>
      <c r="N14" s="468"/>
      <c r="O14" s="468"/>
      <c r="P14" s="103"/>
      <c r="Q14" s="468"/>
      <c r="R14" s="468"/>
      <c r="T14" s="108">
        <f t="shared" si="0"/>
        <v>10</v>
      </c>
      <c r="U14" s="103">
        <f t="shared" si="1"/>
        <v>6</v>
      </c>
    </row>
    <row r="15" spans="1:26" ht="15" customHeight="1">
      <c r="A15" s="68"/>
      <c r="B15" s="417" t="s">
        <v>81</v>
      </c>
      <c r="C15" s="418">
        <v>2000</v>
      </c>
      <c r="D15" s="419">
        <f t="shared" ref="D15:D22" ca="1" si="2">IF(test1="O.K.",IF(doba="určitá",Q15,IF(doba="neurčitá",N15,"")),"?")</f>
        <v>0.2</v>
      </c>
      <c r="G15" s="112" t="str">
        <f>IF(su=0,"Smrť v dôsledku úrazu je povinné riziko!","")</f>
        <v/>
      </c>
      <c r="H15" s="47"/>
      <c r="I15" s="47"/>
      <c r="J15" s="47"/>
      <c r="K15" s="47"/>
      <c r="L15" s="47"/>
      <c r="N15" s="103">
        <f ca="1">IF(test1="O.K.",IF(OR(typ_skoly="škola",typ_skoly="materská"),ROUND(VLOOKUP(su,sadzby!F7:I32,2,FALSE),2),IF(typ_skoly="odborná",ROUND(VLOOKUP(su,sadzby!F7:I32,3,FALSE),2),IF(typ_skoly="športová",ROUND(VLOOKUP(su,sadzby!F7:I32,4,FALSE),2),0))),"?")</f>
        <v>0.2</v>
      </c>
      <c r="O15" s="103" t="str">
        <f t="shared" ref="O15:O20" si="3">IF(zlavy=TRUE,ROUND(N15*(1-(zlava1+zlava2+zlava3)),2),"")</f>
        <v/>
      </c>
      <c r="P15" s="103"/>
      <c r="Q15" s="103">
        <f ca="1">IF(test1="O.K.",IF(typ_skoly="škola",ROUND(VLOOKUP(su,sadzby!F7:I32,2,FALSE)/10*$N$7,2),IF(typ_skoly="odborná",ROUND(VLOOKUP(su,sadzby!F7:I32,3,FALSE)/10*$N$7,2),IF(typ_skoly="športová",ROUND(VLOOKUP(su,sadzby!F7:I32,4,FALSE)/10*$N$7,2),IF(typ_skoly="materská",IF($N$7&lt;12,ROUND(VLOOKUP(su,sadzby!F7:I32,2,FALSE)/12*$N$7,2),VLOOKUP(su,sadzby!F7:I32,2,FALSE)),0)))),"?")</f>
        <v>0.2</v>
      </c>
      <c r="R15" s="103" t="str">
        <f t="shared" ref="R15:R21" si="4">IF(zlavy=TRUE,ROUND(Q15*(1-(zlava1+zlava2+zlava3)),2),"")</f>
        <v/>
      </c>
      <c r="T15" s="108">
        <f t="shared" si="0"/>
        <v>11</v>
      </c>
      <c r="U15" s="103">
        <f t="shared" si="1"/>
        <v>7</v>
      </c>
    </row>
    <row r="16" spans="1:26" ht="15" customHeight="1">
      <c r="A16" s="68"/>
      <c r="B16" s="417" t="s">
        <v>80</v>
      </c>
      <c r="C16" s="420">
        <v>2000</v>
      </c>
      <c r="D16" s="419">
        <f t="shared" ca="1" si="2"/>
        <v>0.6</v>
      </c>
      <c r="G16" s="112" t="str">
        <f>IF(tnu=0,"Trvalé následky úrazu je povinné riziko!","")</f>
        <v/>
      </c>
      <c r="H16" s="47"/>
      <c r="I16" s="47"/>
      <c r="J16" s="47"/>
      <c r="K16" s="47"/>
      <c r="L16" s="47"/>
      <c r="N16" s="103">
        <f ca="1">IF(test1="O.K.",IF(OR(typ_skoly="škola",typ_skoly="materská"),ROUND(VLOOKUP(tnu,sadzby!A7:D19,2,FALSE),2),IF(typ_skoly="odborná",ROUND(VLOOKUP(tnu,sadzby!A7:D19,3,FALSE),2),IF(typ_skoly="športová",ROUND(VLOOKUP(tnu,sadzby!A7:D19,4,FALSE),2),"?"))),"?")</f>
        <v>0.6</v>
      </c>
      <c r="O16" s="103" t="str">
        <f t="shared" si="3"/>
        <v/>
      </c>
      <c r="P16" s="103"/>
      <c r="Q16" s="103">
        <f ca="1">IF(test1="O.K.",IF(typ_skoly="škola",ROUND(VLOOKUP(tnu,sadzby!A7:D19,2,FALSE)/10*$N$7,2),IF(typ_skoly="odborná",ROUND(VLOOKUP(tnu,sadzby!A7:D19,3,FALSE)/10*$N$7,2),IF(typ_skoly="športová",ROUND(VLOOKUP(tnu,sadzby!A7:D19,4,FALSE)/10*$N$7,2),IF(typ_skoly="materská",IF($N$7&lt;12,ROUND(VLOOKUP(tnu,sadzby!A7:D19,2,FALSE)/12*$N$7,2),VLOOKUP(tnu,sadzby!A7:D19,2,FALSE)),0)))),"?")</f>
        <v>0.6</v>
      </c>
      <c r="R16" s="103" t="str">
        <f t="shared" si="4"/>
        <v/>
      </c>
      <c r="T16" s="108">
        <f t="shared" si="0"/>
        <v>12</v>
      </c>
      <c r="U16" s="103">
        <f t="shared" si="1"/>
        <v>8</v>
      </c>
    </row>
    <row r="17" spans="1:21" ht="15" customHeight="1">
      <c r="A17" s="68"/>
      <c r="B17" s="417" t="s">
        <v>82</v>
      </c>
      <c r="C17" s="420">
        <v>300</v>
      </c>
      <c r="D17" s="419">
        <f t="shared" ca="1" si="2"/>
        <v>0.57999999999999996</v>
      </c>
      <c r="G17" s="112" t="str">
        <f>IF(AND(uod&gt;0,dd_cnl&gt;0),"Nie je možné naraz dojednať riziká Úrazové odškodnenie detí a Denná dávka za čas nevyhnutného liečenia, treba vybrať iba jedno riziko!","")</f>
        <v/>
      </c>
      <c r="H17" s="47"/>
      <c r="I17" s="47"/>
      <c r="J17" s="47"/>
      <c r="K17" s="47"/>
      <c r="L17" s="47"/>
      <c r="N17" s="103">
        <f ca="1">IF(test1="O.K.",IF(OR(typ_skoly="škola",typ_skoly="materská"),ROUND(VLOOKUP(uod,sadzby!K7:N43,2,FALSE),2),IF(typ_skoly="odborná",ROUND(VLOOKUP(uod,sadzby!K7:N43,3,FALSE),2),IF(typ_skoly="športová",ROUND(VLOOKUP(uod,sadzby!K7:N43,4,FALSE),2),0))),"?")</f>
        <v>0.57999999999999996</v>
      </c>
      <c r="O17" s="103" t="str">
        <f t="shared" si="3"/>
        <v/>
      </c>
      <c r="P17" s="103"/>
      <c r="Q17" s="103">
        <f ca="1">IF(test1="O.K.",IF(typ_skoly="škola",ROUND(VLOOKUP(uod,sadzby!K7:N43,2,FALSE)/10*$N$7,2),IF(typ_skoly="odborná",ROUND(VLOOKUP(uod,sadzby!K7:N43,3,FALSE)/10*$N$7,2),IF(typ_skoly="športová",ROUND(VLOOKUP(uod,sadzby!K7:N43,4,FALSE)/10*$N$7,2),IF(typ_skoly="materská",IF($N$7&lt;12,ROUND(VLOOKUP(uod,sadzby!K7:N43,2,FALSE)/12*$N$7,2),VLOOKUP(uod,sadzby!K7:N43,2,FALSE)),0)))),"?")</f>
        <v>0.57999999999999996</v>
      </c>
      <c r="R17" s="103" t="str">
        <f t="shared" si="4"/>
        <v/>
      </c>
      <c r="T17" s="103"/>
      <c r="U17" s="103"/>
    </row>
    <row r="18" spans="1:21" ht="15" customHeight="1">
      <c r="A18" s="68"/>
      <c r="B18" s="417" t="s">
        <v>85</v>
      </c>
      <c r="C18" s="421"/>
      <c r="D18" s="419">
        <f t="shared" ca="1" si="2"/>
        <v>0</v>
      </c>
      <c r="G18" s="47"/>
      <c r="H18" s="47"/>
      <c r="I18" s="47"/>
      <c r="J18" s="47"/>
      <c r="K18" s="47"/>
      <c r="L18" s="47"/>
      <c r="N18" s="103">
        <f ca="1">IF(test1="O.K.",IF(OR(typ_skoly="škola",typ_skoly="materská"),ROUND(VLOOKUP(dd_cnl,sadzby!P7:S31,2,FALSE),2),IF(typ_skoly="odborná",ROUND(VLOOKUP(dd_cnl,sadzby!P7:S31,3,FALSE),2),IF(typ_skoly="športová",ROUND(VLOOKUP(dd_cnl,sadzby!P7:S31,4,FALSE),2),0))),"?")</f>
        <v>0</v>
      </c>
      <c r="O18" s="103" t="str">
        <f t="shared" si="3"/>
        <v/>
      </c>
      <c r="P18" s="103"/>
      <c r="Q18" s="103">
        <f ca="1">IF(test1="O.K.",IF(typ_skoly="škola",ROUND(VLOOKUP(dd_cnl,sadzby!P7:S31,2,FALSE)/10*$N$7,2),IF(typ_skoly="odborná",ROUND(VLOOKUP(dd_cnl,sadzby!P7:S31,3,FALSE)/10*$N$7,2),IF(typ_skoly="športová",ROUND(VLOOKUP(dd_cnl,sadzby!P7:S31,4,FALSE)/10*$N$7,2),IF(typ_skoly="materská",IF($N$7&lt;12,ROUND(VLOOKUP(dd_cnl,sadzby!P7:S31,2,FALSE)/12*$N$7,2),VLOOKUP(dd_cnl,sadzby!P7:S31,2,FALSE)),0)))),"?")</f>
        <v>0</v>
      </c>
      <c r="R18" s="103" t="str">
        <f t="shared" si="4"/>
        <v/>
      </c>
    </row>
    <row r="19" spans="1:21" ht="15" customHeight="1">
      <c r="A19" s="68"/>
      <c r="B19" s="417" t="s">
        <v>322</v>
      </c>
      <c r="C19" s="420">
        <v>200</v>
      </c>
      <c r="D19" s="419">
        <f ca="1">IF(test1="O.K.",IF(doba="určitá",Q19,IF(doba="neurčitá",N19,"")),"?")</f>
        <v>1.2</v>
      </c>
      <c r="G19" s="65" t="str">
        <f>IF(OR(AND(zp&gt;0,uod=0,dd_cnl=0)),"Zlomeniny je možné dojednať iba s UOD alebos  DDČNL!","")</f>
        <v/>
      </c>
      <c r="N19" s="103">
        <f ca="1">IF(test1="O.K.",IF(OR(typ_skoly="škola",typ_skoly="materská"),ROUND(VLOOKUP(zp,sadzby!$AA$7:$AD$11,2,FALSE),2),IF(typ_skoly="odborná",ROUND(VLOOKUP(zp,sadzby!$AA$7:$AD$11,3,FALSE),2),IF(typ_skoly="športová",ROUND(VLOOKUP(zp,sadzby!$AA$7:$AD$11,4,FALSE),2),0))),"?")</f>
        <v>1.2</v>
      </c>
      <c r="O19" s="103" t="str">
        <f t="shared" si="3"/>
        <v/>
      </c>
      <c r="P19" s="103"/>
      <c r="Q19" s="103">
        <f ca="1">IF(test1="O.K.",IF(typ_skoly="škola",ROUND(VLOOKUP(zp,sadzby!$AA$7:$AD$11,2,FALSE)/10*$N$7,2),IF(typ_skoly="odborná",ROUND(VLOOKUP(zp,sadzby!$AA$7:$AD$11,3,FALSE)/10*$N$7,2),IF(typ_skoly="športová",ROUND(VLOOKUP(zp,sadzby!$AA$7:$AD$11,4,FALSE)/10*$N$7,2),IF(typ_skoly="materská",IF($N$7&lt;12,ROUND(VLOOKUP(zp,sadzby!$AA$7:$AD$11,2,FALSE)/12*$N$7,2),VLOOKUP(zp,sadzby!$AA$7:$AD$11,2,FALSE)),0)))),"?")</f>
        <v>1.2</v>
      </c>
      <c r="R19" s="103" t="str">
        <f t="shared" si="4"/>
        <v/>
      </c>
    </row>
    <row r="20" spans="1:21" ht="15" customHeight="1">
      <c r="A20" s="68"/>
      <c r="B20" s="417" t="s">
        <v>83</v>
      </c>
      <c r="C20" s="420">
        <v>200</v>
      </c>
      <c r="D20" s="419">
        <f t="shared" ca="1" si="2"/>
        <v>0.75</v>
      </c>
      <c r="N20" s="103">
        <f ca="1">IF(AND(test1="O.K.",OR(typ_skoly="škola",typ_skoly="odborná",typ_skoly="športová",typ_skoly="materská")),ROUND(VLOOKUP(odcud,sadzby!U7:V13,2,FALSE),2),"?")</f>
        <v>0.75</v>
      </c>
      <c r="O20" s="103" t="str">
        <f t="shared" si="3"/>
        <v/>
      </c>
      <c r="P20" s="103"/>
      <c r="Q20" s="103">
        <f ca="1">IF(AND(test1="O.K.",OR(typ_skoly="škola",typ_skoly="odborná",typ_skoly="športová")),ROUND(VLOOKUP(odcud,sadzby!U7:V13,2,FALSE)/10*$N$7,2),IF(AND(test1="O.K.",typ_skoly="materská"),IF($N$7&lt;12,ROUND(VLOOKUP(odcud,sadzby!U7:V13,2,FALSE)/12*$N$7,2),VLOOKUP(odcud,sadzby!U7:V13,2,FALSE)),"?"))</f>
        <v>0.75</v>
      </c>
      <c r="R20" s="103" t="str">
        <f t="shared" si="4"/>
        <v/>
      </c>
    </row>
    <row r="21" spans="1:21" ht="15" customHeight="1" thickBot="1">
      <c r="A21" s="68"/>
      <c r="B21" s="417" t="s">
        <v>84</v>
      </c>
      <c r="C21" s="422">
        <v>1000</v>
      </c>
      <c r="D21" s="419">
        <f t="shared" ca="1" si="2"/>
        <v>0.25</v>
      </c>
      <c r="N21" s="103">
        <f ca="1">IF(AND(test1="O.K.",OR(typ_skoly="škola",typ_skoly="odborná",typ_skoly="športová",typ_skoly="materská")),ROUND(VLOOKUP(zodpov,sadzby!X7:Y15,2,FALSE),2),"?")</f>
        <v>0.25</v>
      </c>
      <c r="O21" s="103" t="str">
        <f>IF(zlavy=TRUE,ROUND(N21*(1-(zlava1+zlava2+zlava3)),2),"")</f>
        <v/>
      </c>
      <c r="P21" s="103"/>
      <c r="Q21" s="103">
        <f ca="1">IF(AND(test1="O.K.",OR(typ_skoly="škola",typ_skoly="odborná",typ_skoly="športová")),ROUND(VLOOKUP(zodpov,sadzby!X7:Y15,2,FALSE)/10*$N$7,2),IF(AND(test1="O.K.",typ_skoly="materská"),IF($N$7&lt;12,ROUND(VLOOKUP(zodpov,sadzby!X7:Y15,2,FALSE)/12*$N$7,2),VLOOKUP(zodpov,sadzby!X7:Y15,2,FALSE)),"?"))</f>
        <v>0.25</v>
      </c>
      <c r="R21" s="103" t="str">
        <f t="shared" si="4"/>
        <v/>
      </c>
    </row>
    <row r="22" spans="1:21" ht="17.850000000000001" customHeight="1">
      <c r="A22" s="83"/>
      <c r="B22" s="84"/>
      <c r="C22" s="408" t="str">
        <f>IF(doba="určitá","Poistné pre žiaka za dobu trvania poistenia ","Ročné poistné pre žiaka ")</f>
        <v xml:space="preserve">Poistné pre žiaka za dobu trvania poistenia </v>
      </c>
      <c r="D22" s="105">
        <f t="shared" ca="1" si="2"/>
        <v>3.58</v>
      </c>
      <c r="N22" s="103">
        <f ca="1">SUM(N15:N21)</f>
        <v>3.58</v>
      </c>
      <c r="O22" s="103" t="str">
        <f>IF(zlavy=TRUE,SUM(O15:O21),"")</f>
        <v/>
      </c>
      <c r="P22" s="103"/>
      <c r="Q22" s="103">
        <f ca="1">SUM(Q15:Q21)</f>
        <v>3.58</v>
      </c>
      <c r="R22" s="103" t="str">
        <f>IF(zlavy=TRUE,SUM(R15:R21),"")</f>
        <v/>
      </c>
    </row>
    <row r="23" spans="1:21" ht="17.850000000000001" customHeight="1" thickBot="1">
      <c r="A23" s="85"/>
      <c r="B23" s="86"/>
      <c r="C23" s="87" t="str">
        <f>IF(C6="určitá","","Alikvótne poistné za 1. poistné obdobie pre žiaka ")</f>
        <v/>
      </c>
      <c r="D23" s="106" t="str">
        <f ca="1">IF(test1="O.K.",IF(doba="neurčitá",Q22,""),"?")</f>
        <v/>
      </c>
      <c r="N23" s="103"/>
      <c r="O23" s="103"/>
      <c r="P23" s="103"/>
      <c r="Q23" s="103"/>
    </row>
    <row r="24" spans="1:21" ht="8.1" customHeight="1" thickBot="1">
      <c r="B24" s="67"/>
    </row>
    <row r="25" spans="1:21" ht="16.8" thickBot="1">
      <c r="A25" s="55"/>
      <c r="B25" s="56"/>
      <c r="C25" s="57" t="s">
        <v>326</v>
      </c>
      <c r="D25" s="58"/>
      <c r="E25" s="222" t="b">
        <v>1</v>
      </c>
      <c r="F25" s="74"/>
      <c r="G25" s="65" t="str">
        <f>IF(AND(zamest=TRUE,OR(su=0,tnu=0)),"Nie je možné dojednať úrazové poistenie iba pre zamestnancov!",IF(AND(zamest=FALSE,OR(tnu_zam&gt;0,su_zam&gt;0,dd_zam&gt;0)),"Označ poistné krytie - zamestnanci, ak sú dojednané riziká!",""))</f>
        <v/>
      </c>
      <c r="N25" s="467" t="s">
        <v>94</v>
      </c>
      <c r="O25" s="467" t="str">
        <f>IF(zlavy=TRUE,"Zľava","")</f>
        <v/>
      </c>
      <c r="P25" s="103"/>
      <c r="Q25" s="468" t="str">
        <f>IF(doba="určitá","Poistné za poistné obdobie ","Alikvótne poistné ")</f>
        <v xml:space="preserve">Poistné za poistné obdobie </v>
      </c>
      <c r="R25" s="467" t="str">
        <f>IF(zlavy=TRUE,"Zľava","")</f>
        <v/>
      </c>
      <c r="S25" s="103"/>
    </row>
    <row r="26" spans="1:21" ht="15" customHeight="1" thickBot="1">
      <c r="A26" s="68"/>
      <c r="B26" s="69" t="s">
        <v>87</v>
      </c>
      <c r="C26" s="114">
        <v>30</v>
      </c>
      <c r="D26" s="70"/>
      <c r="G26" s="65" t="str">
        <f>IF(AND(zamest=TRUE,C26="",G25=""),"Doplniť počet zamestnancov!","")</f>
        <v/>
      </c>
      <c r="N26" s="468"/>
      <c r="O26" s="468"/>
      <c r="P26" s="103"/>
      <c r="Q26" s="468"/>
      <c r="R26" s="468"/>
      <c r="S26" s="103"/>
    </row>
    <row r="27" spans="1:21" ht="14.4" thickBot="1">
      <c r="A27" s="78"/>
      <c r="B27" s="79"/>
      <c r="C27" s="81"/>
      <c r="D27" s="82" t="s">
        <v>62</v>
      </c>
      <c r="N27" s="468"/>
      <c r="O27" s="468"/>
      <c r="P27" s="103"/>
      <c r="Q27" s="468"/>
      <c r="R27" s="468"/>
      <c r="S27" s="103"/>
    </row>
    <row r="28" spans="1:21" ht="15" customHeight="1">
      <c r="A28" s="68"/>
      <c r="B28" s="59" t="s">
        <v>81</v>
      </c>
      <c r="C28" s="409">
        <v>3000</v>
      </c>
      <c r="D28" s="107">
        <f ca="1">IF(test1="O.K.",IF(AND(doba="určitá",zamest=TRUE),Q28,IF(AND(doba="neurčitá",zamest=TRUE),N28,"")),"?")</f>
        <v>0.6</v>
      </c>
      <c r="G28" s="65" t="str">
        <f>IF(AND(zamest=TRUE,su_zam=0,G25=""),"Smrť v dôsledku úrazu je povinné riziko!","")</f>
        <v/>
      </c>
      <c r="N28" s="103">
        <f ca="1">IF(test1="O.K.",IF(zamest=TRUE,ROUND(VLOOKUP(su_zam,sadzby!F51:G63,2,FALSE),2),""),"?")</f>
        <v>0.6</v>
      </c>
      <c r="O28" s="103" t="str">
        <f>IF(zlavy=TRUE,ROUND(N28*(1-(zlava1+zlava2+zlava3)),2),"")</f>
        <v/>
      </c>
      <c r="P28" s="103"/>
      <c r="Q28" s="103">
        <f ca="1">IF(test1="O.K.",IF(zamest=TRUE,ROUND(VLOOKUP(su_zam,sadzby!F51:G63,2,FALSE)/12*$N$8,2),""),"?")</f>
        <v>0.6</v>
      </c>
      <c r="R28" s="103" t="str">
        <f>IF(zlavy=TRUE,ROUND(Q28*(1-(zlava1+zlava2+zlava3)),2),"")</f>
        <v/>
      </c>
      <c r="S28" s="103"/>
    </row>
    <row r="29" spans="1:21" ht="15" customHeight="1">
      <c r="A29" s="68"/>
      <c r="B29" s="60" t="s">
        <v>80</v>
      </c>
      <c r="C29" s="115">
        <v>4000</v>
      </c>
      <c r="D29" s="107">
        <f ca="1">IF(test1="O.K.",IF(AND(doba="určitá",zamest=TRUE),Q29,IF(AND(doba="neurčitá",zamest=TRUE),N29,"")),"?")</f>
        <v>2</v>
      </c>
      <c r="G29" s="65" t="str">
        <f>IF(AND(zamest=TRUE,tnu_zam=0,G25=""),"Trvalé následky úrazu je povinné riziko!","")</f>
        <v/>
      </c>
      <c r="N29" s="103">
        <f ca="1">IF(test1="O.K.",IF(zamest=TRUE,ROUND(VLOOKUP(tnu_zam,sadzby!A51:B63,2,FALSE),2),""),"?")</f>
        <v>2</v>
      </c>
      <c r="O29" s="103" t="str">
        <f>IF(zlavy=TRUE,ROUND(N29*(1-(zlava1+zlava2+zlava3)),2),"")</f>
        <v/>
      </c>
      <c r="P29" s="103"/>
      <c r="Q29" s="103">
        <f ca="1">IF(test1="O.K.",IF(zamest=TRUE,ROUND(VLOOKUP(tnu_zam,sadzby!A51:B63,2,FALSE)/12*$N$8,2),""),"?")</f>
        <v>2</v>
      </c>
      <c r="R29" s="103" t="str">
        <f>IF(zlavy=TRUE,ROUND(Q29*(1-(zlava1+zlava2+zlava3)),2),"")</f>
        <v/>
      </c>
      <c r="S29" s="103"/>
    </row>
    <row r="30" spans="1:21" ht="15" customHeight="1">
      <c r="A30" s="68"/>
      <c r="B30" s="60" t="s">
        <v>85</v>
      </c>
      <c r="C30" s="286">
        <v>2</v>
      </c>
      <c r="D30" s="107">
        <f ca="1">IF(test1="O.K.",IF(AND(doba="určitá",zamest=TRUE),Q30,IF(AND(doba="neurčitá",zamest=TRUE),N30,"")),"?")</f>
        <v>2.0499999999999998</v>
      </c>
      <c r="N30" s="103">
        <f ca="1">IF(test1="O.K.",IF(zamest=TRUE,ROUND(VLOOKUP(dd_zam,sadzby!K51:L65,2,FALSE),2),""),"?")</f>
        <v>2.0499999999999998</v>
      </c>
      <c r="O30" s="103" t="str">
        <f>IF(zlavy=TRUE,ROUND(N30*(1-(zlava1+zlava2+zlava3)),2),"")</f>
        <v/>
      </c>
      <c r="P30" s="103"/>
      <c r="Q30" s="103">
        <f ca="1">IF(test1="O.K.",IF(zamest=TRUE,ROUND(VLOOKUP(dd_zam,sadzby!K51:L65,2,FALSE)/12*$N$8,2),""),+"?")</f>
        <v>2.0499999999999998</v>
      </c>
      <c r="R30" s="103" t="str">
        <f>IF(zlavy=TRUE,ROUND(Q30*(1-(zlava1+zlava2+zlava3)),2),"")</f>
        <v/>
      </c>
      <c r="S30" s="103"/>
    </row>
    <row r="31" spans="1:21" ht="15" customHeight="1" thickBot="1">
      <c r="A31" s="68"/>
      <c r="B31" s="417" t="s">
        <v>322</v>
      </c>
      <c r="C31" s="431">
        <v>250</v>
      </c>
      <c r="D31" s="419">
        <f ca="1">IF(test1="O.K.",IF(AND(doba="určitá",zamest=TRUE),Q31,IF(AND(doba="neurčitá",zamest=TRUE),N31,"")),"?")</f>
        <v>1.5</v>
      </c>
      <c r="G31" s="65" t="str">
        <f>IF(OR(AND(zp_uc&gt;0,dd_zam=0,dd_zam=0)),"Zlomeniny je možné dojednať iba s UOD alebos  DDČNL!","")</f>
        <v/>
      </c>
      <c r="N31" s="103">
        <f ca="1">IF(test1="O.K.",IF(zamest=TRUE,ROUND(VLOOKUP(zp_uc,sadzby!$P$51:$Q$57,2,FALSE),2),""),"?")</f>
        <v>1.5</v>
      </c>
      <c r="O31" s="103" t="str">
        <f>IF(zlavy=TRUE,ROUND(N31*(1-(zlava1+zlava2+zlava3)),2),"")</f>
        <v/>
      </c>
      <c r="P31" s="103"/>
      <c r="Q31" s="103">
        <f ca="1">IF(test1="O.K.",IF(zamest=TRUE,ROUND(VLOOKUP(zp_uc,sadzby!$P$51:$Q$57,2,FALSE)/12*$N$8,2),""),+"?")</f>
        <v>1.5</v>
      </c>
      <c r="R31" s="103" t="str">
        <f>IF(zlavy=TRUE,ROUND(Q31*(1-(zlava1+zlava2+zlava3)),2),"")</f>
        <v/>
      </c>
      <c r="S31" s="103"/>
    </row>
    <row r="32" spans="1:21" ht="17.850000000000001" customHeight="1">
      <c r="A32" s="83"/>
      <c r="B32" s="84"/>
      <c r="C32" s="408" t="str">
        <f>IF(doba="určitá","Poistné pre zamestnanca za dobu trvania poistenia ","Ročné poistné pre zamestnanca ")</f>
        <v xml:space="preserve">Poistné pre zamestnanca za dobu trvania poistenia </v>
      </c>
      <c r="D32" s="118">
        <f ca="1">IF(test1="O.K.",IF(AND(doba="určitá",zamest=TRUE),Q32,IF(AND(doba="neurčitá",zamest=TRUE),N32,"")),"?")</f>
        <v>6.15</v>
      </c>
      <c r="G32" s="65" t="str">
        <f ca="1">IF(D35="?","",IF(D35&gt;5000,"VYSOKÉ POISTNÉ. JE NUTNÁ IDENTIFIKÁCIA KLIENTA. KONTAKTUJ OVPŽP na uraz@union.sk",""))</f>
        <v/>
      </c>
      <c r="N32" s="103">
        <f ca="1">SUM(N28:N31)</f>
        <v>6.15</v>
      </c>
      <c r="O32" s="102" t="str">
        <f>IF(zlavy=TRUE,SUM(O28:O31),"")</f>
        <v/>
      </c>
      <c r="P32" s="103"/>
      <c r="Q32" s="103">
        <f ca="1">SUM(Q28:Q31)</f>
        <v>6.15</v>
      </c>
      <c r="R32" s="103" t="str">
        <f>IF(zlavy=TRUE,SUM(R28:R31),"")</f>
        <v/>
      </c>
      <c r="S32" s="103"/>
    </row>
    <row r="33" spans="1:19" ht="17.850000000000001" customHeight="1" thickBot="1">
      <c r="A33" s="86"/>
      <c r="B33" s="86"/>
      <c r="C33" s="87" t="str">
        <f>IF(C6="určitá","","Alikvótne poistné za 1. poistné obdobie pre zamestnanca ")</f>
        <v/>
      </c>
      <c r="D33" s="119" t="str">
        <f ca="1">IF(test1="O.K.",IF(doba="neurčitá",Q32,""),"?")</f>
        <v/>
      </c>
      <c r="N33" s="103"/>
      <c r="O33" s="102"/>
      <c r="P33" s="103"/>
      <c r="Q33" s="103"/>
      <c r="R33" s="103"/>
      <c r="S33" s="103"/>
    </row>
    <row r="34" spans="1:19" ht="16.2" customHeight="1" thickBot="1">
      <c r="C34" s="74">
        <f>pocet_ziak+pocet_zam</f>
        <v>130</v>
      </c>
      <c r="G34" s="363" t="str">
        <f>IF(C34&gt;1000,"POZOR!PRE UZAVRETIE KONTAKTUJ  a získaj súhlas OVPŽP na uraz@union.sk","")</f>
        <v/>
      </c>
      <c r="N34" s="103"/>
      <c r="O34" s="103"/>
      <c r="P34" s="103"/>
      <c r="Q34" s="103"/>
      <c r="R34" s="103"/>
      <c r="S34" s="103"/>
    </row>
    <row r="35" spans="1:19" ht="20.25" customHeight="1" thickBot="1">
      <c r="A35" s="88"/>
      <c r="B35" s="89"/>
      <c r="C35" s="90" t="str">
        <f>IF(doba="určitá","Celkové poistné za poistné obdobie ","Celkové ročné poistné ")</f>
        <v xml:space="preserve">Celkové poistné za poistné obdobie </v>
      </c>
      <c r="D35" s="109">
        <f ca="1">IF(test1="O.K.",IF(zamest=TRUE,((D22*pocet_ziak)+(D32*pocet_zam)),D22*pocet_ziak),"?")</f>
        <v>542.5</v>
      </c>
      <c r="E35" s="223"/>
      <c r="G35" s="364" t="str">
        <f>IF(SUM(Q95:Q107)&gt;700000,"Pre uzavretie PZ je nutný súhlas OVPŽP. Kontakujte nás cez e-mail union@union.sk","")</f>
        <v/>
      </c>
    </row>
    <row r="36" spans="1:19" ht="13.5" hidden="1" customHeight="1">
      <c r="C36" s="75" t="s">
        <v>329</v>
      </c>
      <c r="D36" s="49">
        <f ca="1">pocet_ziak*Q22+pocet_zam*Q32</f>
        <v>542.5</v>
      </c>
    </row>
    <row r="37" spans="1:19" ht="5.25" customHeight="1"/>
    <row r="38" spans="1:19" ht="5.25" customHeight="1" thickBot="1"/>
    <row r="39" spans="1:19" ht="19.8" thickBot="1">
      <c r="A39" s="257" t="s">
        <v>232</v>
      </c>
      <c r="B39" s="283" t="s">
        <v>261</v>
      </c>
      <c r="C39" s="94"/>
      <c r="D39" s="95"/>
      <c r="E39" s="96" t="b">
        <v>0</v>
      </c>
      <c r="G39" s="65" t="str">
        <f>IF(AND(zlavy=FALSE,OR(zlava1&gt;0,zlava2&gt;0,zlava3&gt;0)),"Označiť ak požadujete uplatniť zľavu za počet osôb!",IF(AND(zlava1+zlava2+zlava3=0,zlavy=TRUE),"Zadajte výšku zľavy!",""))</f>
        <v/>
      </c>
      <c r="L39" s="138"/>
      <c r="M39" s="139" t="s">
        <v>162</v>
      </c>
      <c r="N39" s="49">
        <f ca="1">COUNTIF(N40:N42,"zverejni")</f>
        <v>2</v>
      </c>
      <c r="Q39" s="98"/>
    </row>
    <row r="40" spans="1:19" ht="15.9" customHeight="1" thickBot="1">
      <c r="A40" s="68"/>
      <c r="B40" s="69" t="s">
        <v>89</v>
      </c>
      <c r="C40" s="284"/>
      <c r="D40" s="70"/>
      <c r="G40" s="65" t="str">
        <f>IF(AND(zlava1&gt;0,zlava2&gt;0),"Je možné uplatniť iba jednu zľavu - buď Zľava za počet osôb alebo Zľava za beškodový priebeh!",IF(AND(zlava1=0.05,(pocet_ziak+pocet_zam)&lt;50),"Nie je možné uplatniť zľavu vo výške 5%, nepostačujúci počet poistených osôb!",IF(AND(zlava1=0.07,(pocet_ziak+pocet_zam)&lt;101),"Nie je možné uplatniť zľavu vo výške 7%, nepostačujúci počet poistených osôb!",IF(AND(zlava1=0.1,(pocet_ziak+pocet_zam)&lt;251),"Nie je možné uplatniť zľavu vo výške 10%, nepostačujúci počet poistených osôb!",""))))</f>
        <v/>
      </c>
      <c r="M40" s="99" t="s">
        <v>163</v>
      </c>
      <c r="N40" s="49" t="str">
        <f>IF(AND(doba="určitá",C7=R4),"zverejni","")</f>
        <v>zverejni</v>
      </c>
      <c r="Q40" s="98"/>
    </row>
    <row r="41" spans="1:19" ht="15.9" hidden="1" customHeight="1">
      <c r="A41" s="68"/>
      <c r="B41" s="69" t="s">
        <v>90</v>
      </c>
      <c r="C41" s="285"/>
      <c r="D41" s="70"/>
      <c r="M41" s="99" t="s">
        <v>164</v>
      </c>
      <c r="N41" s="49" t="str">
        <f ca="1">IF(doba="určitá",IF(AND(zlavy=FALSE,D35&gt;=200),"zverejni",IF(AND(zlavy=TRUE,D43&gt;=200),"zverejni","")),"")</f>
        <v>zverejni</v>
      </c>
    </row>
    <row r="42" spans="1:19" ht="15.9" hidden="1" customHeight="1" thickBot="1">
      <c r="A42" s="68"/>
      <c r="B42" s="69" t="s">
        <v>99</v>
      </c>
      <c r="C42" s="282"/>
      <c r="D42" s="70"/>
      <c r="M42" s="99" t="s">
        <v>165</v>
      </c>
      <c r="N42" s="49" t="str">
        <f>IF(doba="neurčitá","zverejni","")</f>
        <v/>
      </c>
    </row>
    <row r="43" spans="1:19" ht="18" thickBot="1">
      <c r="A43" s="92"/>
      <c r="B43" s="93"/>
      <c r="C43" s="97" t="str">
        <f>IF(doba="určitá","Celkové poistné za poistné obdobie po zľave ","Celkové ročné poistné po zľave ")</f>
        <v xml:space="preserve">Celkové poistné za poistné obdobie po zľave </v>
      </c>
      <c r="D43" s="110" t="str">
        <f ca="1">IF(test1="O.K.",IF(zlavy=TRUE,IF(doba="určitá",IF(zamest=TRUE,((R22*pocet_ziak)+(R32*pocet_zam)),R22*pocet_ziak),IF(doba="neurčitá",IF(zamest=TRUE,((O22*pocet_ziak)+(O32*pocet_zam)),O22*pocet_ziak))),""),"?")</f>
        <v/>
      </c>
    </row>
    <row r="44" spans="1:19" ht="27" hidden="1" customHeight="1">
      <c r="C44" s="75" t="s">
        <v>329</v>
      </c>
      <c r="D44" s="49" t="str">
        <f>IF(AND(doba="neurčitá",zlavy=TRUE),pocet_ziak*R22+pocet_zam*R32,"")</f>
        <v/>
      </c>
    </row>
    <row r="45" spans="1:19" ht="27" hidden="1" customHeight="1">
      <c r="A45" s="469" t="s">
        <v>253</v>
      </c>
      <c r="B45" s="469"/>
      <c r="C45" s="273"/>
      <c r="D45" s="272"/>
    </row>
    <row r="46" spans="1:19" ht="27" hidden="1" customHeight="1">
      <c r="A46" s="470" t="s">
        <v>255</v>
      </c>
      <c r="B46" s="470"/>
      <c r="C46" s="470"/>
      <c r="D46" s="274">
        <v>0.05</v>
      </c>
    </row>
    <row r="47" spans="1:19" ht="27" hidden="1" customHeight="1">
      <c r="A47" s="470" t="s">
        <v>256</v>
      </c>
      <c r="B47" s="470"/>
      <c r="C47" s="470"/>
      <c r="D47" s="274">
        <v>0.1</v>
      </c>
    </row>
    <row r="48" spans="1:19" ht="27" hidden="1" customHeight="1">
      <c r="A48" s="470" t="s">
        <v>257</v>
      </c>
      <c r="B48" s="470"/>
      <c r="C48" s="470"/>
      <c r="D48" s="274">
        <v>0.15</v>
      </c>
    </row>
    <row r="49" spans="1:12" ht="29.25" customHeight="1"/>
    <row r="50" spans="1:12" ht="12.75" customHeight="1">
      <c r="A50" s="471" t="s">
        <v>250</v>
      </c>
      <c r="B50" s="471"/>
    </row>
    <row r="51" spans="1:12" ht="14.4">
      <c r="A51" s="466" t="s">
        <v>258</v>
      </c>
      <c r="B51" s="466"/>
      <c r="C51" s="466"/>
      <c r="D51" s="274">
        <v>0.05</v>
      </c>
    </row>
    <row r="52" spans="1:12" ht="14.4">
      <c r="A52" s="466" t="s">
        <v>259</v>
      </c>
      <c r="B52" s="466"/>
      <c r="C52" s="466"/>
      <c r="D52" s="274">
        <v>7.0000000000000007E-2</v>
      </c>
    </row>
    <row r="53" spans="1:12" ht="14.4">
      <c r="A53" s="466" t="s">
        <v>260</v>
      </c>
      <c r="B53" s="466"/>
      <c r="C53" s="466"/>
      <c r="D53" s="274">
        <v>0.1</v>
      </c>
    </row>
    <row r="54" spans="1:12" ht="29.4" customHeight="1">
      <c r="C54" s="275"/>
      <c r="D54" s="272"/>
    </row>
    <row r="55" spans="1:12" ht="14.4" hidden="1">
      <c r="C55" s="275"/>
      <c r="D55" s="272"/>
    </row>
    <row r="56" spans="1:12" ht="14.4" hidden="1">
      <c r="C56" s="275"/>
      <c r="D56" s="272"/>
    </row>
    <row r="57" spans="1:12" hidden="1">
      <c r="A57" s="61" t="s">
        <v>10</v>
      </c>
      <c r="B57" s="63" t="s">
        <v>11</v>
      </c>
      <c r="C57" s="62" t="s">
        <v>12</v>
      </c>
      <c r="D57" s="62" t="s">
        <v>86</v>
      </c>
      <c r="E57" s="224" t="s">
        <v>13</v>
      </c>
      <c r="F57" s="62"/>
      <c r="G57" s="62" t="s">
        <v>41</v>
      </c>
      <c r="H57" s="62"/>
      <c r="I57" s="62"/>
      <c r="K57" s="75" t="s">
        <v>291</v>
      </c>
      <c r="L57" s="75" t="s">
        <v>292</v>
      </c>
    </row>
    <row r="58" spans="1:12" ht="13.8" hidden="1" thickBot="1">
      <c r="A58" s="64">
        <v>0</v>
      </c>
      <c r="B58" s="11">
        <v>0</v>
      </c>
      <c r="C58" s="11">
        <v>0</v>
      </c>
      <c r="D58" s="11">
        <v>0</v>
      </c>
      <c r="E58" s="225">
        <v>0</v>
      </c>
      <c r="F58" s="64"/>
      <c r="G58" s="64">
        <v>0</v>
      </c>
      <c r="H58" s="64"/>
      <c r="I58" s="64"/>
      <c r="K58" s="4">
        <v>0</v>
      </c>
      <c r="L58" s="54">
        <v>0</v>
      </c>
    </row>
    <row r="59" spans="1:12" ht="13.8" hidden="1" thickBot="1">
      <c r="A59" s="11">
        <v>500</v>
      </c>
      <c r="B59" s="4">
        <v>600</v>
      </c>
      <c r="C59" s="11">
        <v>300</v>
      </c>
      <c r="D59" s="11">
        <v>1</v>
      </c>
      <c r="E59" s="225">
        <v>200</v>
      </c>
      <c r="F59" s="64"/>
      <c r="G59" s="64">
        <v>1000</v>
      </c>
      <c r="H59" s="64"/>
      <c r="I59" s="64"/>
      <c r="K59" s="4">
        <v>1000</v>
      </c>
      <c r="L59" s="54">
        <v>1</v>
      </c>
    </row>
    <row r="60" spans="1:12" ht="13.8" hidden="1" thickBot="1">
      <c r="A60" s="11">
        <v>1000</v>
      </c>
      <c r="B60" s="4">
        <v>700</v>
      </c>
      <c r="C60" s="11">
        <v>350</v>
      </c>
      <c r="D60" s="11">
        <v>1.5</v>
      </c>
      <c r="E60" s="225">
        <v>400</v>
      </c>
      <c r="F60" s="64"/>
      <c r="G60" s="64">
        <v>2000</v>
      </c>
      <c r="H60" s="64"/>
      <c r="I60" s="64"/>
      <c r="K60" s="4">
        <v>1500</v>
      </c>
      <c r="L60" s="54">
        <v>1.5</v>
      </c>
    </row>
    <row r="61" spans="1:12" ht="13.8" hidden="1" thickBot="1">
      <c r="A61" s="11">
        <v>1500</v>
      </c>
      <c r="B61" s="4">
        <v>800</v>
      </c>
      <c r="C61" s="11">
        <v>400</v>
      </c>
      <c r="D61" s="11">
        <v>2</v>
      </c>
      <c r="E61" s="225">
        <v>600</v>
      </c>
      <c r="F61" s="64"/>
      <c r="G61" s="64">
        <v>3000</v>
      </c>
      <c r="H61" s="64"/>
      <c r="I61" s="64"/>
      <c r="K61" s="4">
        <v>2000</v>
      </c>
      <c r="L61" s="54">
        <v>2</v>
      </c>
    </row>
    <row r="62" spans="1:12" ht="13.8" hidden="1" thickBot="1">
      <c r="A62" s="11">
        <v>2000</v>
      </c>
      <c r="B62" s="4">
        <v>900</v>
      </c>
      <c r="C62" s="11">
        <v>450</v>
      </c>
      <c r="D62" s="11">
        <v>2.5</v>
      </c>
      <c r="E62" s="225">
        <v>800</v>
      </c>
      <c r="F62" s="64"/>
      <c r="G62" s="64">
        <v>4000</v>
      </c>
      <c r="H62" s="64"/>
      <c r="I62" s="64"/>
      <c r="K62" s="4">
        <v>2500</v>
      </c>
      <c r="L62" s="54">
        <v>2.5</v>
      </c>
    </row>
    <row r="63" spans="1:12" ht="13.8" hidden="1" thickBot="1">
      <c r="A63" s="11">
        <v>2500</v>
      </c>
      <c r="B63" s="4">
        <v>1000</v>
      </c>
      <c r="C63" s="11">
        <v>500</v>
      </c>
      <c r="D63" s="11">
        <v>3</v>
      </c>
      <c r="E63" s="225">
        <v>1000</v>
      </c>
      <c r="F63" s="64"/>
      <c r="G63" s="64">
        <v>5000</v>
      </c>
      <c r="H63" s="64"/>
      <c r="I63" s="64"/>
      <c r="K63" s="4">
        <v>3000</v>
      </c>
      <c r="L63" s="54">
        <v>3</v>
      </c>
    </row>
    <row r="64" spans="1:12" ht="13.8" hidden="1" thickBot="1">
      <c r="A64" s="11">
        <v>3000</v>
      </c>
      <c r="B64" s="4">
        <v>1100</v>
      </c>
      <c r="C64" s="11">
        <v>550</v>
      </c>
      <c r="D64" s="346">
        <v>3.5</v>
      </c>
      <c r="E64" s="225">
        <v>1200</v>
      </c>
      <c r="F64" s="64"/>
      <c r="G64" s="64">
        <v>7500</v>
      </c>
      <c r="H64" s="64"/>
      <c r="I64" s="64"/>
      <c r="K64" s="4">
        <v>3500</v>
      </c>
      <c r="L64" s="54">
        <v>3.5</v>
      </c>
    </row>
    <row r="65" spans="1:12" ht="13.8" hidden="1" thickBot="1">
      <c r="A65" s="11">
        <v>3500</v>
      </c>
      <c r="B65" s="4">
        <v>1200</v>
      </c>
      <c r="C65" s="11">
        <v>600</v>
      </c>
      <c r="D65" s="347">
        <v>4</v>
      </c>
      <c r="E65" s="226"/>
      <c r="F65" s="61"/>
      <c r="G65" s="64">
        <v>10000</v>
      </c>
      <c r="H65" s="64"/>
      <c r="I65" s="64"/>
      <c r="K65" s="4">
        <v>4000</v>
      </c>
      <c r="L65" s="54">
        <v>4</v>
      </c>
    </row>
    <row r="66" spans="1:12" ht="13.8" hidden="1" thickBot="1">
      <c r="A66" s="11">
        <v>4000</v>
      </c>
      <c r="B66" s="4">
        <v>1300</v>
      </c>
      <c r="C66" s="11">
        <v>650</v>
      </c>
      <c r="D66" s="347">
        <v>4.5</v>
      </c>
      <c r="E66" s="226"/>
      <c r="F66" s="61"/>
      <c r="G66" s="64">
        <v>20000</v>
      </c>
      <c r="H66" s="64"/>
      <c r="I66" s="64"/>
      <c r="K66" s="4">
        <v>4500</v>
      </c>
      <c r="L66" s="54">
        <v>4.5</v>
      </c>
    </row>
    <row r="67" spans="1:12" ht="13.8" hidden="1" thickBot="1">
      <c r="A67" s="11">
        <v>4500</v>
      </c>
      <c r="B67" s="4">
        <v>1400</v>
      </c>
      <c r="C67" s="11">
        <v>700</v>
      </c>
      <c r="D67" s="347">
        <v>5</v>
      </c>
      <c r="E67" s="226"/>
      <c r="F67" s="61"/>
      <c r="G67" s="71"/>
      <c r="H67" s="71"/>
      <c r="I67" s="71"/>
      <c r="K67" s="4">
        <v>5000</v>
      </c>
      <c r="L67" s="54">
        <v>5</v>
      </c>
    </row>
    <row r="68" spans="1:12" ht="13.8" hidden="1" thickBot="1">
      <c r="A68" s="11">
        <v>5000</v>
      </c>
      <c r="B68" s="4">
        <v>1500</v>
      </c>
      <c r="C68" s="11">
        <v>750</v>
      </c>
      <c r="D68" s="347">
        <v>5.5</v>
      </c>
      <c r="E68" s="224"/>
      <c r="F68" s="62"/>
      <c r="G68" s="71"/>
      <c r="H68" s="71"/>
      <c r="I68" s="71"/>
      <c r="K68" s="4">
        <v>5500</v>
      </c>
      <c r="L68" s="54">
        <v>6</v>
      </c>
    </row>
    <row r="69" spans="1:12" ht="13.8" hidden="1" thickBot="1">
      <c r="A69" s="11">
        <v>5500</v>
      </c>
      <c r="B69" s="340">
        <v>1600</v>
      </c>
      <c r="C69" s="11">
        <v>800</v>
      </c>
      <c r="D69" s="347">
        <v>6</v>
      </c>
      <c r="E69" s="224"/>
      <c r="F69" s="62"/>
      <c r="G69" s="71"/>
      <c r="H69" s="71"/>
      <c r="I69" s="71"/>
      <c r="K69" s="4">
        <v>6000</v>
      </c>
      <c r="L69" s="54">
        <v>7</v>
      </c>
    </row>
    <row r="70" spans="1:12" ht="13.8" hidden="1" thickBot="1">
      <c r="A70" s="11">
        <v>6000</v>
      </c>
      <c r="B70" s="340">
        <v>1700</v>
      </c>
      <c r="C70" s="11">
        <v>850</v>
      </c>
      <c r="D70" s="347">
        <v>6.5</v>
      </c>
      <c r="E70" s="224"/>
      <c r="F70" s="62"/>
      <c r="G70" s="71"/>
      <c r="H70" s="71"/>
      <c r="I70" s="71"/>
      <c r="K70" s="4"/>
      <c r="L70" s="54">
        <v>8</v>
      </c>
    </row>
    <row r="71" spans="1:12" ht="13.8" hidden="1" thickBot="1">
      <c r="A71" s="61"/>
      <c r="B71" s="340">
        <v>1800</v>
      </c>
      <c r="C71" s="11">
        <v>900</v>
      </c>
      <c r="D71" s="347">
        <v>7</v>
      </c>
      <c r="E71" s="224"/>
      <c r="F71" s="62"/>
      <c r="G71" s="71"/>
      <c r="H71" s="71"/>
      <c r="I71" s="71"/>
      <c r="L71" s="54">
        <v>9</v>
      </c>
    </row>
    <row r="72" spans="1:12" ht="13.8" hidden="1" thickBot="1">
      <c r="A72" s="61"/>
      <c r="B72" s="340">
        <v>1900</v>
      </c>
      <c r="C72" s="11">
        <v>950</v>
      </c>
      <c r="D72" s="347">
        <v>7.5</v>
      </c>
      <c r="E72" s="224"/>
      <c r="F72" s="62"/>
      <c r="G72" s="71"/>
      <c r="H72" s="71"/>
      <c r="I72" s="71"/>
      <c r="L72" s="54">
        <v>10</v>
      </c>
    </row>
    <row r="73" spans="1:12" ht="13.8" hidden="1" thickBot="1">
      <c r="A73" s="61"/>
      <c r="B73" s="340">
        <v>2000</v>
      </c>
      <c r="C73" s="11">
        <v>1000</v>
      </c>
      <c r="D73" s="347">
        <v>8</v>
      </c>
      <c r="E73" s="224"/>
      <c r="F73" s="62"/>
      <c r="G73" s="71"/>
      <c r="H73" s="71"/>
      <c r="I73" s="71"/>
    </row>
    <row r="74" spans="1:12" ht="13.8" hidden="1" thickBot="1">
      <c r="A74" s="61"/>
      <c r="B74" s="340">
        <v>2100</v>
      </c>
      <c r="C74" s="341">
        <v>1050</v>
      </c>
      <c r="D74" s="347">
        <v>8.5</v>
      </c>
      <c r="E74" s="224"/>
      <c r="F74" s="62"/>
      <c r="G74" s="71"/>
      <c r="H74" s="71"/>
      <c r="I74" s="71"/>
    </row>
    <row r="75" spans="1:12" ht="13.8" hidden="1" thickBot="1">
      <c r="A75" s="61"/>
      <c r="B75" s="340">
        <v>2200</v>
      </c>
      <c r="C75" s="341">
        <v>1100</v>
      </c>
      <c r="D75" s="347">
        <v>9</v>
      </c>
      <c r="E75" s="224"/>
      <c r="F75" s="62"/>
      <c r="G75" s="71"/>
      <c r="H75" s="71"/>
      <c r="I75" s="71"/>
    </row>
    <row r="76" spans="1:12" ht="13.8" hidden="1" thickBot="1">
      <c r="A76" s="61"/>
      <c r="B76" s="340">
        <v>2300</v>
      </c>
      <c r="C76" s="341">
        <v>1150</v>
      </c>
      <c r="D76" s="347">
        <v>9.5</v>
      </c>
      <c r="E76" s="224"/>
      <c r="F76" s="62"/>
      <c r="G76" s="71"/>
      <c r="H76" s="71"/>
      <c r="I76" s="71"/>
    </row>
    <row r="77" spans="1:12" ht="13.8" hidden="1" thickBot="1">
      <c r="A77" s="72"/>
      <c r="B77" s="340">
        <v>2400</v>
      </c>
      <c r="C77" s="341">
        <v>1200</v>
      </c>
      <c r="D77" s="347">
        <v>10</v>
      </c>
      <c r="E77" s="227"/>
      <c r="F77" s="72"/>
      <c r="G77" s="73"/>
      <c r="H77" s="73"/>
      <c r="I77" s="73"/>
    </row>
    <row r="78" spans="1:12" ht="13.8" hidden="1" thickBot="1">
      <c r="B78" s="340">
        <v>2500</v>
      </c>
      <c r="C78" s="341">
        <v>1250</v>
      </c>
      <c r="D78" s="347"/>
    </row>
    <row r="79" spans="1:12" ht="13.8" hidden="1" thickBot="1">
      <c r="B79" s="340">
        <v>2600</v>
      </c>
      <c r="C79" s="341">
        <v>1300</v>
      </c>
      <c r="D79" s="347">
        <v>8.5</v>
      </c>
    </row>
    <row r="80" spans="1:12" ht="13.8" hidden="1" thickBot="1">
      <c r="B80" s="340">
        <v>2700</v>
      </c>
      <c r="C80" s="341">
        <v>1350</v>
      </c>
      <c r="D80" s="347">
        <v>9</v>
      </c>
    </row>
    <row r="81" spans="2:19" ht="13.8" hidden="1" thickBot="1">
      <c r="B81" s="340">
        <v>2800</v>
      </c>
      <c r="C81" s="341">
        <v>1400</v>
      </c>
      <c r="D81" s="347">
        <v>9.5</v>
      </c>
    </row>
    <row r="82" spans="2:19" ht="13.8" hidden="1" thickBot="1">
      <c r="B82" s="340">
        <v>2900</v>
      </c>
      <c r="C82" s="341">
        <v>1450</v>
      </c>
      <c r="D82" s="347">
        <v>10</v>
      </c>
    </row>
    <row r="83" spans="2:19" ht="13.8" hidden="1" thickBot="1">
      <c r="B83" s="340">
        <v>3000</v>
      </c>
      <c r="C83" s="342">
        <v>1500</v>
      </c>
    </row>
    <row r="84" spans="2:19" ht="13.8" hidden="1" thickBot="1">
      <c r="C84" s="344">
        <v>1750</v>
      </c>
    </row>
    <row r="85" spans="2:19" ht="13.8" hidden="1" thickBot="1">
      <c r="C85" s="340">
        <v>2000</v>
      </c>
    </row>
    <row r="86" spans="2:19" ht="13.8" hidden="1" thickBot="1">
      <c r="C86" s="340">
        <v>2250</v>
      </c>
    </row>
    <row r="87" spans="2:19" ht="13.8" hidden="1" thickBot="1">
      <c r="C87" s="340">
        <v>2500</v>
      </c>
    </row>
    <row r="88" spans="2:19" ht="13.8" hidden="1" thickBot="1">
      <c r="C88" s="340">
        <v>2750</v>
      </c>
    </row>
    <row r="89" spans="2:19" ht="13.8" hidden="1" thickBot="1">
      <c r="C89" s="340">
        <v>3000</v>
      </c>
    </row>
    <row r="90" spans="2:19" ht="13.8" hidden="1" thickBot="1">
      <c r="C90" s="340"/>
    </row>
    <row r="91" spans="2:19" ht="13.8" hidden="1" thickBot="1">
      <c r="C91" s="340"/>
    </row>
    <row r="92" spans="2:19" ht="13.8" hidden="1" thickBot="1">
      <c r="C92" s="340"/>
    </row>
    <row r="93" spans="2:19" ht="13.8" hidden="1" thickBot="1">
      <c r="C93" s="340"/>
      <c r="L93" s="49" t="s">
        <v>305</v>
      </c>
    </row>
    <row r="94" spans="2:19" ht="13.8" hidden="1" thickBot="1">
      <c r="C94" s="340"/>
      <c r="L94" s="49" t="s">
        <v>303</v>
      </c>
      <c r="O94" s="75" t="s">
        <v>306</v>
      </c>
      <c r="Q94" s="75" t="s">
        <v>309</v>
      </c>
      <c r="R94" s="75" t="s">
        <v>307</v>
      </c>
      <c r="S94" s="49" t="s">
        <v>308</v>
      </c>
    </row>
    <row r="95" spans="2:19">
      <c r="M95" s="60" t="str">
        <f t="shared" ref="M95:N98" si="5">B15</f>
        <v xml:space="preserve">smrť v dôsledku úrazu </v>
      </c>
      <c r="N95" s="115">
        <f t="shared" si="5"/>
        <v>2000</v>
      </c>
      <c r="O95" s="384">
        <v>0.1</v>
      </c>
      <c r="Q95" s="383">
        <f t="shared" ref="Q95:Q100" si="6">pocet_ziak*N95*O95*R95*S95</f>
        <v>20000</v>
      </c>
      <c r="R95" s="49">
        <v>1</v>
      </c>
      <c r="S95" s="49">
        <v>1</v>
      </c>
    </row>
    <row r="96" spans="2:19">
      <c r="M96" s="60" t="str">
        <f t="shared" si="5"/>
        <v xml:space="preserve">trvalé následky úrazu </v>
      </c>
      <c r="N96" s="115">
        <f t="shared" si="5"/>
        <v>2000</v>
      </c>
      <c r="O96" s="384">
        <v>0.16500000000000001</v>
      </c>
      <c r="Q96" s="383">
        <f t="shared" si="6"/>
        <v>16500</v>
      </c>
      <c r="R96" s="49">
        <v>1</v>
      </c>
      <c r="S96" s="49">
        <v>0.5</v>
      </c>
    </row>
    <row r="97" spans="10:20">
      <c r="M97" s="60" t="str">
        <f t="shared" si="5"/>
        <v xml:space="preserve">úrazové odškodnenie detí </v>
      </c>
      <c r="N97" s="115">
        <f t="shared" si="5"/>
        <v>300</v>
      </c>
      <c r="O97" s="384">
        <v>0.3</v>
      </c>
      <c r="Q97" s="383">
        <f t="shared" si="6"/>
        <v>4500</v>
      </c>
      <c r="R97" s="49">
        <v>1</v>
      </c>
      <c r="S97" s="49">
        <v>0.5</v>
      </c>
    </row>
    <row r="98" spans="10:20">
      <c r="M98" s="60" t="str">
        <f t="shared" si="5"/>
        <v xml:space="preserve">denná dávka za čas nevyhnutného liečenia úrazu (od 8. dňa) </v>
      </c>
      <c r="N98" s="286">
        <f t="shared" si="5"/>
        <v>0</v>
      </c>
      <c r="O98" s="384">
        <v>0.16500000000000001</v>
      </c>
      <c r="Q98" s="383">
        <f t="shared" si="6"/>
        <v>0</v>
      </c>
      <c r="R98" s="49">
        <v>15</v>
      </c>
      <c r="S98" s="49">
        <v>1</v>
      </c>
    </row>
    <row r="99" spans="10:20">
      <c r="M99" s="60" t="str">
        <f>B20</f>
        <v xml:space="preserve">odcudzenie </v>
      </c>
      <c r="N99" s="115">
        <f>C20</f>
        <v>200</v>
      </c>
      <c r="O99" s="385">
        <v>0</v>
      </c>
      <c r="Q99" s="383">
        <f t="shared" si="6"/>
        <v>0</v>
      </c>
      <c r="R99" s="49">
        <v>0</v>
      </c>
      <c r="S99" s="49">
        <v>0</v>
      </c>
    </row>
    <row r="100" spans="10:20">
      <c r="M100" s="60" t="str">
        <f>B21</f>
        <v xml:space="preserve">zodpovednosť žiaka </v>
      </c>
      <c r="N100" s="115">
        <f>C21</f>
        <v>1000</v>
      </c>
      <c r="O100" s="385">
        <v>0</v>
      </c>
      <c r="Q100" s="383">
        <f t="shared" si="6"/>
        <v>0</v>
      </c>
      <c r="R100" s="49">
        <v>0</v>
      </c>
      <c r="S100" s="49">
        <v>0</v>
      </c>
    </row>
    <row r="101" spans="10:20">
      <c r="J101" s="425"/>
      <c r="K101" s="425"/>
      <c r="L101" s="425"/>
      <c r="M101" s="426" t="s">
        <v>322</v>
      </c>
      <c r="N101" s="423">
        <f>C19</f>
        <v>200</v>
      </c>
      <c r="O101" s="428">
        <v>0.16500000000000001</v>
      </c>
      <c r="P101" s="425"/>
      <c r="Q101" s="427">
        <f>pocet_ziak*N101*O101*R101*S101</f>
        <v>1650</v>
      </c>
      <c r="R101" s="425">
        <v>1</v>
      </c>
      <c r="S101" s="425">
        <v>0.5</v>
      </c>
      <c r="T101" s="425"/>
    </row>
    <row r="102" spans="10:20">
      <c r="J102" s="425"/>
      <c r="K102" s="425"/>
      <c r="L102" s="425"/>
      <c r="M102" s="425"/>
      <c r="N102" s="425"/>
      <c r="O102" s="424"/>
      <c r="P102" s="425"/>
      <c r="Q102" s="427"/>
      <c r="R102" s="425"/>
      <c r="S102" s="425"/>
      <c r="T102" s="425"/>
    </row>
    <row r="103" spans="10:20" ht="14.25" customHeight="1" thickBot="1">
      <c r="M103" s="49" t="s">
        <v>304</v>
      </c>
      <c r="O103" s="386"/>
      <c r="Q103" s="383"/>
    </row>
    <row r="104" spans="10:20">
      <c r="M104" s="59" t="str">
        <f t="shared" ref="M104:N107" si="7">B28</f>
        <v xml:space="preserve">smrť v dôsledku úrazu </v>
      </c>
      <c r="N104" s="115">
        <f t="shared" si="7"/>
        <v>3000</v>
      </c>
      <c r="O104" s="384">
        <v>0.1</v>
      </c>
      <c r="Q104" s="383">
        <f>pocet_zam*N104*O104*R104*S104</f>
        <v>9000</v>
      </c>
      <c r="R104" s="49">
        <v>1</v>
      </c>
      <c r="S104" s="49">
        <v>1</v>
      </c>
    </row>
    <row r="105" spans="10:20">
      <c r="M105" s="60" t="str">
        <f t="shared" si="7"/>
        <v xml:space="preserve">trvalé následky úrazu </v>
      </c>
      <c r="N105" s="115">
        <f t="shared" si="7"/>
        <v>4000</v>
      </c>
      <c r="O105" s="384">
        <v>0.16500000000000001</v>
      </c>
      <c r="Q105" s="383">
        <f>pocet_zam*N105*O105*R105*S105</f>
        <v>9900</v>
      </c>
      <c r="R105" s="49">
        <v>1</v>
      </c>
      <c r="S105" s="49">
        <v>0.5</v>
      </c>
    </row>
    <row r="106" spans="10:20">
      <c r="M106" s="60" t="str">
        <f t="shared" si="7"/>
        <v xml:space="preserve">denná dávka za čas nevyhnutného liečenia úrazu (od 8. dňa) </v>
      </c>
      <c r="N106" s="286">
        <f t="shared" si="7"/>
        <v>2</v>
      </c>
      <c r="O106" s="384">
        <v>0.16500000000000001</v>
      </c>
      <c r="Q106" s="383">
        <f>pocet_zam*N106*O106*R106*S106</f>
        <v>148.5</v>
      </c>
      <c r="R106" s="49">
        <v>15</v>
      </c>
      <c r="S106" s="49">
        <v>1</v>
      </c>
    </row>
    <row r="107" spans="10:20">
      <c r="L107" s="425"/>
      <c r="M107" s="426" t="s">
        <v>322</v>
      </c>
      <c r="N107" s="410">
        <f t="shared" si="7"/>
        <v>250</v>
      </c>
      <c r="O107" s="428">
        <v>0.16500000000000001</v>
      </c>
      <c r="P107" s="425"/>
      <c r="Q107" s="427">
        <f>pocet_zam*N107*O107*R107*S107</f>
        <v>618.75</v>
      </c>
      <c r="R107" s="425">
        <v>1</v>
      </c>
      <c r="S107" s="425">
        <v>0.5</v>
      </c>
    </row>
  </sheetData>
  <sheetProtection algorithmName="SHA-512" hashValue="wLG67fsSBozjrUEmssmxf3vtD6ZxbvFo03j1aP00AvuFVpoXaqZbb+1B4mRyW3oZ7D0BaZmlTngjZN3Cb8098Q==" saltValue="abmvFk6Q6YU+JOkaFAFSvw==" spinCount="100000" sheet="1" objects="1" scenarios="1"/>
  <mergeCells count="18">
    <mergeCell ref="B2:D2"/>
    <mergeCell ref="N12:N14"/>
    <mergeCell ref="Q12:Q14"/>
    <mergeCell ref="N25:N27"/>
    <mergeCell ref="Q25:Q27"/>
    <mergeCell ref="O12:O14"/>
    <mergeCell ref="O25:O27"/>
    <mergeCell ref="K2:Z2"/>
    <mergeCell ref="A51:C51"/>
    <mergeCell ref="A52:C52"/>
    <mergeCell ref="A53:C53"/>
    <mergeCell ref="R12:R14"/>
    <mergeCell ref="R25:R27"/>
    <mergeCell ref="A45:B45"/>
    <mergeCell ref="A46:C46"/>
    <mergeCell ref="A47:C47"/>
    <mergeCell ref="A48:C48"/>
    <mergeCell ref="A50:B50"/>
  </mergeCells>
  <conditionalFormatting sqref="G4:I4">
    <cfRule type="expression" dxfId="10" priority="7">
      <formula>$G$4="O.K."</formula>
    </cfRule>
  </conditionalFormatting>
  <conditionalFormatting sqref="O12:O22">
    <cfRule type="expression" dxfId="9" priority="6">
      <formula>$O$12&lt;&gt;""</formula>
    </cfRule>
  </conditionalFormatting>
  <conditionalFormatting sqref="R12:R22">
    <cfRule type="expression" dxfId="8" priority="5">
      <formula>$R$12&lt;&gt;""</formula>
    </cfRule>
  </conditionalFormatting>
  <conditionalFormatting sqref="O25:O32">
    <cfRule type="expression" dxfId="7" priority="4">
      <formula>$O$25&lt;&gt;""</formula>
    </cfRule>
  </conditionalFormatting>
  <conditionalFormatting sqref="R25:R32">
    <cfRule type="expression" dxfId="6" priority="3">
      <formula>$R$25&lt;&gt;""</formula>
    </cfRule>
  </conditionalFormatting>
  <conditionalFormatting sqref="K2:Z2">
    <cfRule type="expression" dxfId="5" priority="2">
      <formula>$K$2&lt;&gt;""</formula>
    </cfRule>
  </conditionalFormatting>
  <dataValidations count="13">
    <dataValidation type="list" allowBlank="1" showInputMessage="1" showErrorMessage="1" sqref="C41" xr:uid="{00000000-0002-0000-0300-000001000000}">
      <mc:AlternateContent xmlns:x12ac="http://schemas.microsoft.com/office/spreadsheetml/2011/1/ac" xmlns:mc="http://schemas.openxmlformats.org/markup-compatibility/2006">
        <mc:Choice Requires="x12ac">
          <x12ac:list>0,"0,05","0,1","0,15"</x12ac:list>
        </mc:Choice>
        <mc:Fallback>
          <formula1>"0,0,05,0,1,0,15"</formula1>
        </mc:Fallback>
      </mc:AlternateContent>
    </dataValidation>
    <dataValidation type="list" allowBlank="1" showInputMessage="1" showErrorMessage="1" sqref="C28:C29 N104:N105" xr:uid="{00000000-0002-0000-0300-000002000000}">
      <formula1>$K$58:$K$70</formula1>
    </dataValidation>
    <dataValidation type="list" allowBlank="1" showInputMessage="1" showErrorMessage="1" sqref="C17 N97" xr:uid="{00000000-0002-0000-0300-000003000000}">
      <formula1>$C$58:$C$89</formula1>
    </dataValidation>
    <dataValidation type="list" allowBlank="1" showInputMessage="1" showErrorMessage="1" sqref="N98 C18" xr:uid="{00000000-0002-0000-0300-000004000000}">
      <formula1>$D$58:$D$77</formula1>
    </dataValidation>
    <dataValidation type="list" allowBlank="1" showInputMessage="1" showErrorMessage="1" sqref="C20 N99" xr:uid="{00000000-0002-0000-0300-000005000000}">
      <formula1>$E$58:$E$64</formula1>
    </dataValidation>
    <dataValidation type="list" allowBlank="1" showInputMessage="1" showErrorMessage="1" sqref="N100 C21" xr:uid="{00000000-0002-0000-0300-000006000000}">
      <formula1>$G$58:$G$66</formula1>
    </dataValidation>
    <dataValidation type="list" allowBlank="1" showInputMessage="1" showErrorMessage="1" sqref="C16 N96" xr:uid="{00000000-0002-0000-0300-000007000000}">
      <formula1>$A$58:$A$70</formula1>
    </dataValidation>
    <dataValidation type="list" allowBlank="1" showInputMessage="1" showErrorMessage="1" sqref="C15 N95" xr:uid="{00000000-0002-0000-0300-000008000000}">
      <formula1>$B$58:$B$83</formula1>
    </dataValidation>
    <dataValidation type="list" allowBlank="1" showInputMessage="1" showErrorMessage="1" sqref="C9" xr:uid="{00000000-0002-0000-0300-000009000000}">
      <formula1>"škola,odborná,športová, materská"</formula1>
    </dataValidation>
    <dataValidation type="list" allowBlank="1" showInputMessage="1" showErrorMessage="1" sqref="C6" xr:uid="{00000000-0002-0000-0300-00000A000000}">
      <formula1>"určitá,neurčitá,"</formula1>
    </dataValidation>
    <dataValidation type="list" allowBlank="1" showInputMessage="1" showErrorMessage="1" sqref="C10" xr:uid="{00000000-0002-0000-0300-00000B000000}">
      <formula1>" elektronické avízo,poštová poukážka,bez avíza (trvalý príkaz)"</formula1>
    </dataValidation>
    <dataValidation type="list" allowBlank="1" showInputMessage="1" showErrorMessage="1" sqref="C40" xr:uid="{00000000-0002-0000-0300-00000C000000}">
      <formula1>"0%,5%,7%,10%"</formula1>
    </dataValidation>
    <dataValidation type="list" allowBlank="1" showInputMessage="1" showErrorMessage="1" sqref="N106 C30" xr:uid="{00000000-0002-0000-0300-000000000000}">
      <formula1>$L$58:$L$72</formula1>
    </dataValidation>
  </dataValidations>
  <pageMargins left="0.7" right="0.7" top="0.75" bottom="0.75" header="0.3" footer="0.3"/>
  <pageSetup paperSize="9" orientation="portrait"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8206" r:id="rId4" name="Check Box 14">
              <controlPr locked="0" defaultSize="0" autoFill="0" autoLine="0" autoPict="0">
                <anchor moveWithCells="1">
                  <from>
                    <xdr:col>1</xdr:col>
                    <xdr:colOff>1051560</xdr:colOff>
                    <xdr:row>24</xdr:row>
                    <xdr:rowOff>0</xdr:rowOff>
                  </from>
                  <to>
                    <xdr:col>1</xdr:col>
                    <xdr:colOff>1356360</xdr:colOff>
                    <xdr:row>25</xdr:row>
                    <xdr:rowOff>0</xdr:rowOff>
                  </to>
                </anchor>
              </controlPr>
            </control>
          </mc:Choice>
        </mc:AlternateContent>
        <mc:AlternateContent xmlns:mc="http://schemas.openxmlformats.org/markup-compatibility/2006">
          <mc:Choice Requires="x14">
            <control shapeId="8228" r:id="rId5" name="Button 36">
              <controlPr defaultSize="0" print="0" autoFill="0" autoPict="0" macro="[0]!maz_vypocet">
                <anchor moveWithCells="1" sizeWithCells="1">
                  <from>
                    <xdr:col>7</xdr:col>
                    <xdr:colOff>365760</xdr:colOff>
                    <xdr:row>1</xdr:row>
                    <xdr:rowOff>198120</xdr:rowOff>
                  </from>
                  <to>
                    <xdr:col>9</xdr:col>
                    <xdr:colOff>693420</xdr:colOff>
                    <xdr:row>1</xdr:row>
                    <xdr:rowOff>769620</xdr:rowOff>
                  </to>
                </anchor>
              </controlPr>
            </control>
          </mc:Choice>
        </mc:AlternateContent>
        <mc:AlternateContent xmlns:mc="http://schemas.openxmlformats.org/markup-compatibility/2006">
          <mc:Choice Requires="x14">
            <control shapeId="8230" r:id="rId6" name="Check Box 38">
              <controlPr locked="0" defaultSize="0" autoFill="0" autoLine="0" autoPict="0">
                <anchor moveWithCells="1">
                  <from>
                    <xdr:col>1</xdr:col>
                    <xdr:colOff>68580</xdr:colOff>
                    <xdr:row>38</xdr:row>
                    <xdr:rowOff>22860</xdr:rowOff>
                  </from>
                  <to>
                    <xdr:col>1</xdr:col>
                    <xdr:colOff>373380</xdr:colOff>
                    <xdr:row>38</xdr:row>
                    <xdr:rowOff>236220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7F683FE6-BC35-488B-B466-D71C00B68CCF}">
          <x14:formula1>
            <xm:f>sadzby!$AA$7:$AA$11</xm:f>
          </x14:formula1>
          <xm:sqref>C19 N101</xm:sqref>
        </x14:dataValidation>
        <x14:dataValidation type="list" allowBlank="1" showInputMessage="1" showErrorMessage="1" xr:uid="{8F6D0984-0A91-4A18-BDB2-58FFFAD88142}">
          <x14:formula1>
            <xm:f>sadzby!$P$51:$P$57</xm:f>
          </x14:formula1>
          <xm:sqref>C31 N107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1">
    <pageSetUpPr fitToPage="1"/>
  </sheetPr>
  <dimension ref="B1:H40"/>
  <sheetViews>
    <sheetView zoomScaleNormal="100" workbookViewId="0">
      <selection activeCell="B5" sqref="B5:G5"/>
    </sheetView>
  </sheetViews>
  <sheetFormatPr defaultColWidth="9.109375" defaultRowHeight="13.8"/>
  <cols>
    <col min="1" max="1" width="2.6640625" style="48" customWidth="1"/>
    <col min="2" max="2" width="25.6640625" style="48" customWidth="1"/>
    <col min="3" max="3" width="38.109375" style="48" customWidth="1"/>
    <col min="4" max="4" width="14.44140625" style="48" customWidth="1"/>
    <col min="5" max="5" width="6.5546875" style="48" customWidth="1"/>
    <col min="6" max="6" width="15.6640625" style="48" customWidth="1"/>
    <col min="7" max="7" width="2.5546875" style="48" customWidth="1"/>
    <col min="8" max="8" width="11.88671875" style="48" bestFit="1" customWidth="1"/>
    <col min="9" max="16384" width="9.109375" style="48"/>
  </cols>
  <sheetData>
    <row r="1" spans="2:7" ht="6" customHeight="1"/>
    <row r="3" spans="2:7" ht="18.899999999999999" customHeight="1">
      <c r="B3" s="477" t="s">
        <v>14</v>
      </c>
      <c r="C3" s="477"/>
      <c r="D3" s="477"/>
      <c r="E3" s="477"/>
      <c r="F3" s="477"/>
      <c r="G3" s="477"/>
    </row>
    <row r="4" spans="2:7" ht="49.5" customHeight="1">
      <c r="B4" s="478" t="s">
        <v>104</v>
      </c>
      <c r="C4" s="478"/>
      <c r="D4" s="478"/>
      <c r="E4" s="478"/>
      <c r="F4" s="478"/>
      <c r="G4" s="478"/>
    </row>
    <row r="5" spans="2:7" ht="20.100000000000001" customHeight="1">
      <c r="B5" s="479" t="str">
        <f>Poistne!B2</f>
        <v>Úrazové poistenie žiakov - 118</v>
      </c>
      <c r="C5" s="479"/>
      <c r="D5" s="479"/>
      <c r="E5" s="479"/>
      <c r="F5" s="479"/>
      <c r="G5" s="479"/>
    </row>
    <row r="7" spans="2:7" ht="88.5" customHeight="1">
      <c r="B7" s="476" t="s">
        <v>302</v>
      </c>
      <c r="C7" s="476"/>
      <c r="D7" s="476"/>
      <c r="E7" s="476"/>
      <c r="F7" s="476"/>
      <c r="G7" s="476"/>
    </row>
    <row r="9" spans="2:7">
      <c r="B9" s="116" t="s">
        <v>15</v>
      </c>
    </row>
    <row r="10" spans="2:7">
      <c r="B10" s="117" t="s">
        <v>17</v>
      </c>
      <c r="D10" s="259" t="str">
        <f ca="1">IF(test1="O.K.",IF(typ_skoly="škola",typ_skoly,CONCATENATE(typ_skoly," ","škola")),"?")</f>
        <v>škola</v>
      </c>
    </row>
    <row r="11" spans="2:7">
      <c r="B11" s="117" t="s">
        <v>18</v>
      </c>
      <c r="D11" s="48">
        <f ca="1">IF(test1="O.K.",IF(pocet_ziak&gt;0,pocet_ziak,""),"?")</f>
        <v>100</v>
      </c>
    </row>
    <row r="12" spans="2:7">
      <c r="B12" s="117" t="s">
        <v>103</v>
      </c>
      <c r="D12" s="48">
        <f ca="1">IF(test1="O.K.",IF(AND(zamest=TRUE,pocet_zam&gt;0),pocet_zam,""),"?")</f>
        <v>30</v>
      </c>
    </row>
    <row r="14" spans="2:7">
      <c r="B14" s="260" t="s">
        <v>100</v>
      </c>
      <c r="C14" s="261"/>
      <c r="D14" s="262" t="s">
        <v>79</v>
      </c>
      <c r="E14" s="261"/>
      <c r="F14" s="263" t="s">
        <v>106</v>
      </c>
    </row>
    <row r="15" spans="2:7" ht="6" customHeight="1"/>
    <row r="16" spans="2:7">
      <c r="B16" s="48" t="s">
        <v>24</v>
      </c>
      <c r="D16" s="264">
        <f ca="1">IF(test1="O.K.",su,"?")</f>
        <v>2000</v>
      </c>
      <c r="F16" s="258">
        <f ca="1">IF(test1="O.K.",IF(zlavy=FALSE,Poistne!D15,IF(doba="určitá",Poistne!R15,Poistne!O15)),"?")</f>
        <v>0.2</v>
      </c>
    </row>
    <row r="17" spans="2:6">
      <c r="B17" s="48" t="s">
        <v>25</v>
      </c>
      <c r="D17" s="264">
        <f ca="1">IF(test1="O.K.",tnu,"?")</f>
        <v>2000</v>
      </c>
      <c r="F17" s="258">
        <f ca="1">IF(test1="O.K.",IF(zlavy=FALSE,Poistne!D16,IF(doba="určitá",Poistne!R16,Poistne!O16)),"?")</f>
        <v>0.6</v>
      </c>
    </row>
    <row r="18" spans="2:6">
      <c r="B18" s="48" t="s">
        <v>101</v>
      </c>
      <c r="D18" s="264">
        <f ca="1">IF(test1="O.K.",uod,"?")</f>
        <v>300</v>
      </c>
      <c r="F18" s="258">
        <f ca="1">IF(test1="O.K.",IF(zlavy=FALSE,Poistne!D17,IF(doba="určitá",Poistne!R17,Poistne!O17)),"?")</f>
        <v>0.57999999999999996</v>
      </c>
    </row>
    <row r="19" spans="2:6">
      <c r="B19" s="48" t="s">
        <v>102</v>
      </c>
      <c r="D19" s="265">
        <f ca="1">IF(test1="O.K.",dd_cnl,"?")</f>
        <v>0</v>
      </c>
      <c r="F19" s="258">
        <f ca="1">IF(test1="O.K.",IF(zlavy=FALSE,Poistne!D18,IF(doba="určitá",Poistne!R18,Poistne!O18)),"?")</f>
        <v>0</v>
      </c>
    </row>
    <row r="20" spans="2:6">
      <c r="B20" s="48" t="s">
        <v>323</v>
      </c>
      <c r="D20" s="265">
        <f ca="1">IF(test1="O.K.",zp,"?")</f>
        <v>200</v>
      </c>
      <c r="F20" s="258">
        <f ca="1">IF(test1="O.K.",IF(zlavy=FALSE,Poistne!D19,IF(doba="určitá",Poistne!R19,Poistne!O19)),"?")</f>
        <v>1.2</v>
      </c>
    </row>
    <row r="21" spans="2:6">
      <c r="B21" s="48" t="s">
        <v>6</v>
      </c>
      <c r="D21" s="264">
        <f ca="1">IF(test1="O.K.",odcud,"?")</f>
        <v>200</v>
      </c>
      <c r="F21" s="258">
        <f ca="1">IF(test1="O.K.",IF(zlavy=FALSE,Poistne!D20,IF(doba="určitá",Poistne!R20,Poistne!O20)),"?")</f>
        <v>0.75</v>
      </c>
    </row>
    <row r="22" spans="2:6" ht="28.2" customHeight="1">
      <c r="B22" s="475" t="s">
        <v>105</v>
      </c>
      <c r="C22" s="475"/>
      <c r="D22" s="264">
        <f ca="1">IF(test1="O.K.",zodpov,"?")</f>
        <v>1000</v>
      </c>
      <c r="F22" s="258">
        <f ca="1">IF(test1="O.K.",IF(zlavy=FALSE,Poistne!D21,IF(doba="určitá",Poistne!R21,Poistne!O21)),"?")</f>
        <v>0.25</v>
      </c>
    </row>
    <row r="23" spans="2:6" ht="18" customHeight="1">
      <c r="B23" s="260" t="str">
        <f>IF(doba="určitá",CONCATENATE("Poistné pre žiaka za dobu trvania poistenia (od ",DAY(Poistne!C5),".",MONTH(Poistne!C5),".",YEAR(Poistne!C5)," do ",DAY(Poistne!C7),".",MONTH(Poistne!C7),".",YEAR(Poistne!C7),")"),"Ročné poistné pre žiaka ")</f>
        <v>Poistné pre žiaka za dobu trvania poistenia (od 1.9.2022 do 31.8.2023)</v>
      </c>
      <c r="F23" s="266">
        <f ca="1">IF(test1="O.K.",IF(zlavy=FALSE,Poistne!D22,IF(doba="určitá",Poistne!R22,Poistne!O22)),"?")</f>
        <v>3.58</v>
      </c>
    </row>
    <row r="24" spans="2:6" ht="15" customHeight="1">
      <c r="B24" s="267" t="str">
        <f>IF(doba="neurčitá",CONCATENATE("Alikvótne poistné za 1. poistné obdobie (od ",DAY(Poistne!C5),".",MONTH(Poistne!C5),".",YEAR(Poistne!C5)," do 31.8.",Poistne!Q5,") pre žiaka"),"")</f>
        <v/>
      </c>
      <c r="F24" s="266" t="str">
        <f ca="1">IF(test1="O.K.",IF(AND(doba="neurčitá",zlavy=FALSE),Poistne!Q22,IF(AND(doba="neurčitá",zlavy=TRUE),Poistne!R22,"")),"?")</f>
        <v/>
      </c>
    </row>
    <row r="26" spans="2:6">
      <c r="B26" s="189" t="str">
        <f>IF(zamest=TRUE,"Dojednané poistné krytie pre zamestnancov:","Poistné krytie pre zamestnancov sa nedojednáva.")</f>
        <v>Dojednané poistné krytie pre zamestnancov:</v>
      </c>
    </row>
    <row r="27" spans="2:6" ht="6" customHeight="1"/>
    <row r="28" spans="2:6">
      <c r="B28" s="48" t="s">
        <v>24</v>
      </c>
      <c r="D28" s="268">
        <f ca="1">IF(test1="O.K.",su_zam,"?")</f>
        <v>3000</v>
      </c>
      <c r="F28" s="269">
        <f ca="1">IF(test1="O.K.",IF(zlavy=FALSE,Poistne!D28,IF(doba="určitá",Poistne!R28,Poistne!O28)),"?")</f>
        <v>0.6</v>
      </c>
    </row>
    <row r="29" spans="2:6">
      <c r="B29" s="48" t="s">
        <v>25</v>
      </c>
      <c r="D29" s="268">
        <f ca="1">IF(test1="O.K.",tnu_zam,"?")</f>
        <v>4000</v>
      </c>
      <c r="F29" s="269">
        <f ca="1">IF(test1="O.K.",IF(zlavy=FALSE,Poistne!D29,IF(doba="určitá",Poistne!R29,Poistne!O29)),"?")</f>
        <v>2</v>
      </c>
    </row>
    <row r="30" spans="2:6">
      <c r="B30" s="48" t="s">
        <v>102</v>
      </c>
      <c r="D30" s="269">
        <f ca="1">IF(test1="O.K.",dd_zam,"?")</f>
        <v>2</v>
      </c>
      <c r="F30" s="269">
        <f ca="1">IF(test1="O.K.",IF(zlavy=FALSE,Poistne!D30,IF(doba="určitá",Poistne!R30,Poistne!O30)),"?")</f>
        <v>2.0499999999999998</v>
      </c>
    </row>
    <row r="31" spans="2:6">
      <c r="B31" s="48" t="s">
        <v>323</v>
      </c>
      <c r="D31" s="269">
        <f ca="1">IF(test1="O.K.",zp_uc,"?")</f>
        <v>250</v>
      </c>
      <c r="F31" s="269">
        <f ca="1">IF(test1="O.K.",IF(zlavy=FALSE,Poistne!D31,IF(doba="určitá",Poistne!R31,Poistne!O31)),"?")</f>
        <v>1.5</v>
      </c>
    </row>
    <row r="32" spans="2:6" s="189" customFormat="1" ht="18" customHeight="1">
      <c r="B32" s="260" t="str">
        <f>IF(doba="určitá",CONCATENATE("Poistné pre zamestnanca za dobu trvania poistenia (od ",DAY(Poistne!C5),".",MONTH(Poistne!C5),".",YEAR(Poistne!C5)," do ",DAY(Poistne!C7),".",MONTH(Poistne!C7),".",YEAR(Poistne!C7),")"),"Ročné poistné pre zamestnanca ")</f>
        <v>Poistné pre zamestnanca za dobu trvania poistenia (od 1.9.2022 do 31.8.2023)</v>
      </c>
      <c r="F32" s="266">
        <f ca="1">IF(test1="O.K.",IF(zlavy=FALSE,Poistne!D32,IF(doba="určitá",Poistne!R32,Poistne!O32)),"?")</f>
        <v>6.15</v>
      </c>
    </row>
    <row r="33" spans="2:8" ht="15" hidden="1" customHeight="1">
      <c r="B33" s="432" t="str">
        <f>IF(AND(doba="neurčitá",zamest=TRUE),CONCATENATE("Alikvótne poistné za 1. poistné obdobie (od ",DAY(Poistne!C5),".",MONTH(Poistne!C5),".",YEAR(Poistne!C5)," do 31.8.",Poistne!Q5,") pre zamestnanca"),"")</f>
        <v/>
      </c>
      <c r="C33" s="433"/>
      <c r="D33" s="433"/>
      <c r="E33" s="433"/>
      <c r="F33" s="266" t="str">
        <f ca="1">IF(test1="O.K.",IF(AND(doba="neurčitá",zlavy=FALSE,zamest=TRUE),Poistne!Q32,IF(AND(doba="neurčitá",zlavy=TRUE,zamest=TRUE),Poistne!R32,"")),"?")</f>
        <v/>
      </c>
    </row>
    <row r="34" spans="2:8" ht="13.5" hidden="1" customHeight="1">
      <c r="B34" s="432"/>
      <c r="C34" s="433"/>
      <c r="D34" s="433"/>
      <c r="E34" s="433"/>
    </row>
    <row r="35" spans="2:8" ht="0.75" hidden="1" customHeight="1">
      <c r="B35" s="432"/>
      <c r="C35" s="433"/>
      <c r="D35" s="433"/>
      <c r="E35" s="433"/>
    </row>
    <row r="36" spans="2:8" ht="13.5" customHeight="1">
      <c r="B36" s="432"/>
      <c r="C36" s="433"/>
      <c r="D36" s="433"/>
      <c r="E36" s="433"/>
    </row>
    <row r="37" spans="2:8" ht="15.6">
      <c r="B37" s="270" t="str">
        <f>IF(doba="určitá",CONCATENATE("Celkové poistné za dobu trvania poistenia (od ",DAY(Poistne!C5),".",MONTH(Poistne!C5),".",YEAR(Poistne!C5)," do ",DAY(Poistne!C7),".",MONTH(Poistne!C7),".",YEAR(Poistne!C7),") "),"Celkové ročné poistné ")</f>
        <v xml:space="preserve">Celkové poistné za dobu trvania poistenia (od 1.9.2022 do 31.8.2023) </v>
      </c>
      <c r="F37" s="271">
        <f ca="1">IF(test1="O.K.",IF(zlavy=FALSE,Poistne!D35,Poistne!D43),"?")</f>
        <v>542.5</v>
      </c>
      <c r="H37" s="269"/>
    </row>
    <row r="38" spans="2:8">
      <c r="H38" s="269"/>
    </row>
    <row r="39" spans="2:8">
      <c r="H39" s="269"/>
    </row>
    <row r="40" spans="2:8">
      <c r="B40" s="48" t="s">
        <v>16</v>
      </c>
    </row>
  </sheetData>
  <sheetProtection algorithmName="SHA-512" hashValue="0LP+70YG5jw+YA81onlAOBCUUr1/PgQe/dEtosvYRWnCh9RmPoXkgMGwV6QbxcWKgbqUYsbo7oQHFCZsS/gMYw==" saltValue="UWgW2GX2TfcoaiI4s8MZfA==" spinCount="100000" sheet="1" objects="1" scenarios="1"/>
  <mergeCells count="5">
    <mergeCell ref="B22:C22"/>
    <mergeCell ref="B7:G7"/>
    <mergeCell ref="B3:G3"/>
    <mergeCell ref="B4:G4"/>
    <mergeCell ref="B5:G5"/>
  </mergeCells>
  <printOptions horizontalCentered="1"/>
  <pageMargins left="0.7" right="0.7" top="0.75" bottom="0.75" header="0.3" footer="0.3"/>
  <pageSetup paperSize="9" scale="86" fitToHeight="0" orientation="portrait" r:id="rId1"/>
  <headerFooter>
    <oddFooter>&amp;L&amp;"Arial,Tučné"   1+110+01+99+0220</oddFooter>
  </headerFooter>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V47"/>
  <sheetViews>
    <sheetView workbookViewId="0">
      <selection activeCell="D5" sqref="D5"/>
    </sheetView>
  </sheetViews>
  <sheetFormatPr defaultColWidth="9.109375" defaultRowHeight="13.2"/>
  <cols>
    <col min="1" max="1" width="9.109375" style="24"/>
    <col min="2" max="2" width="6.33203125" style="24" customWidth="1"/>
    <col min="3" max="3" width="29.33203125" style="24" customWidth="1"/>
    <col min="4" max="4" width="55.44140625" style="24" customWidth="1"/>
    <col min="5" max="5" width="12.109375" style="24" customWidth="1"/>
    <col min="6" max="12" width="9.109375" style="24"/>
    <col min="13" max="22" width="9.109375" style="24" hidden="1" customWidth="1"/>
    <col min="23" max="23" width="0" style="24" hidden="1" customWidth="1"/>
    <col min="24" max="16384" width="9.109375" style="24"/>
  </cols>
  <sheetData>
    <row r="1" spans="2:20" s="27" customFormat="1" ht="60" customHeight="1" thickBot="1">
      <c r="B1" s="26"/>
      <c r="C1" s="26"/>
      <c r="D1" s="23"/>
      <c r="E1" s="26"/>
    </row>
    <row r="2" spans="2:20" ht="20.25" customHeight="1" thickBot="1">
      <c r="B2" s="490" t="s">
        <v>110</v>
      </c>
      <c r="C2" s="491"/>
      <c r="D2" s="492"/>
      <c r="E2" s="25" t="str">
        <f ca="1">IF(test1="O.K.",IF(AND(subjek="nie",SUM(COUNTBLANK(E4:E6),COUNTBLANK(E11:E19),COUNTBLANK(E23:E28),COUNTBLANK(E33:E37),COUNTBLANK(E41:E47))&lt;30),"CHYBA!",IF(AND(OR(subjek="áno",subjek=""),SUM(COUNTBLANK(E4:E6),COUNTBLANK(E11:E19),COUNTBLANK(E23:E28),COUNTBLANK(E33:E37),COUNTBLANK(E41:E47))&lt;26),"CHYBA!","O.K.")),"Chyba v hárku Poistné!")</f>
        <v>CHYBA!</v>
      </c>
      <c r="N2" s="236" t="s">
        <v>201</v>
      </c>
      <c r="O2" s="221">
        <f>IF(D5="áno",IF(subjek="áno",IF(zverejni&gt;0,2,1),IF(zverejni&gt;0,4,3)),IF(subjek="áno",1,3))</f>
        <v>3</v>
      </c>
    </row>
    <row r="3" spans="2:20" ht="3" customHeight="1" thickBot="1">
      <c r="E3" s="28"/>
    </row>
    <row r="4" spans="2:20" ht="15" customHeight="1">
      <c r="B4" s="120" t="s">
        <v>36</v>
      </c>
      <c r="C4" s="121"/>
      <c r="D4" s="122" t="s">
        <v>332</v>
      </c>
      <c r="E4" s="124" t="str">
        <f>IF(OR(D4&lt;0,D4=""),"Údaj je potrebné vyplniť!",IF(COUNTIF(O11:O27,"CHYBA")&gt;0,"Správny tvar čísla PZ je xx-1xxxxx, kde xxxxx je vygenerované číslo.",""))</f>
        <v>Správny tvar čísla PZ je xx-1xxxxx, kde xxxxx je vygenerované číslo.</v>
      </c>
      <c r="O4" s="249">
        <v>1</v>
      </c>
      <c r="P4" s="250" t="s">
        <v>202</v>
      </c>
    </row>
    <row r="5" spans="2:20" ht="42.75" customHeight="1">
      <c r="B5" s="495" t="s">
        <v>111</v>
      </c>
      <c r="C5" s="496"/>
      <c r="D5" s="123" t="s">
        <v>333</v>
      </c>
      <c r="E5" s="131" t="str">
        <f>IF(OR(D5&lt;0,D5=""),"Údaj je potrebné vyplniť!","")</f>
        <v/>
      </c>
      <c r="O5" s="249">
        <v>2</v>
      </c>
      <c r="P5" s="250" t="s">
        <v>203</v>
      </c>
    </row>
    <row r="6" spans="2:20" ht="30.75" customHeight="1" thickBot="1">
      <c r="B6" s="495" t="s">
        <v>112</v>
      </c>
      <c r="C6" s="497"/>
      <c r="D6" s="123"/>
      <c r="E6" s="131" t="str">
        <f>IF(OR(D6&lt;0,D6=""),"Údaj je potrebné vyplniť","")</f>
        <v>Údaj je potrebné vyplniť</v>
      </c>
      <c r="O6" s="249">
        <v>3</v>
      </c>
      <c r="P6" s="250" t="s">
        <v>204</v>
      </c>
    </row>
    <row r="7" spans="2:20" ht="12" customHeight="1">
      <c r="B7" s="125"/>
      <c r="C7" s="126"/>
      <c r="D7" s="128"/>
      <c r="E7" s="124"/>
      <c r="O7" s="249">
        <v>4</v>
      </c>
      <c r="P7" s="250" t="s">
        <v>205</v>
      </c>
    </row>
    <row r="8" spans="2:20" ht="8.1" customHeight="1" thickBot="1">
      <c r="E8" s="124"/>
      <c r="J8" s="38"/>
      <c r="P8" s="46"/>
    </row>
    <row r="9" spans="2:20" ht="20.25" customHeight="1" thickBot="1">
      <c r="B9" s="490" t="s">
        <v>34</v>
      </c>
      <c r="C9" s="491"/>
      <c r="D9" s="492"/>
      <c r="E9" s="124"/>
    </row>
    <row r="10" spans="2:20" ht="3" customHeight="1" thickBot="1">
      <c r="E10" s="124"/>
    </row>
    <row r="11" spans="2:20" ht="15" customHeight="1">
      <c r="B11" s="29" t="str">
        <f>IF(subjek="nie","NÁZOV POISTNÍKA:","NÁZOV ŠKOLY:")</f>
        <v>NÁZOV ŠKOLY:</v>
      </c>
      <c r="C11" s="30"/>
      <c r="D11" s="37"/>
      <c r="E11" s="124" t="str">
        <f>IF(OR(D11&lt;0,D11=""),"Údaj je potrebné vyplniť!","")</f>
        <v>Údaj je potrebné vyplniť!</v>
      </c>
      <c r="M11" s="24">
        <v>1</v>
      </c>
      <c r="N11" s="24" t="str">
        <f>MID($D$4,M11,1)</f>
        <v>x</v>
      </c>
      <c r="O11" s="24" t="str">
        <f>IF(ISNUMBER(VALUE(N11)),"","CHYBA")</f>
        <v>CHYBA</v>
      </c>
    </row>
    <row r="12" spans="2:20">
      <c r="B12" s="31" t="str">
        <f>IF(subjek="nie","ADRESA POISTNÍKA:","ADRESA ŠKOLY:")</f>
        <v>ADRESA ŠKOLY:</v>
      </c>
      <c r="C12" s="32"/>
      <c r="D12" s="34"/>
      <c r="E12" s="124" t="str">
        <f>IF(OR(D12&lt;0,D12=""),"Údaj je potrebné vyplniť!","")</f>
        <v>Údaj je potrebné vyplniť!</v>
      </c>
      <c r="M12" s="24">
        <v>2</v>
      </c>
      <c r="N12" s="24" t="str">
        <f t="shared" ref="N12:N19" si="0">MID($D$4,M12,1)</f>
        <v>x</v>
      </c>
      <c r="O12" s="24" t="str">
        <f>IF(ISNUMBER(VALUE(N12)),"","CHYBA")</f>
        <v>CHYBA</v>
      </c>
      <c r="Q12" s="46" t="s">
        <v>192</v>
      </c>
      <c r="T12" s="24" t="str">
        <f>IF(LEFT(D16,2)&lt;&gt;"SK","Účet nie je vedený v SR!","")</f>
        <v/>
      </c>
    </row>
    <row r="13" spans="2:20" ht="13.8">
      <c r="B13" s="31" t="s">
        <v>38</v>
      </c>
      <c r="C13" s="32"/>
      <c r="D13" s="34"/>
      <c r="E13" s="124" t="str">
        <f>IF(OR(D13&lt;0,D13=""),"Údaj je potrebné vyplniť!","")</f>
        <v>Údaj je potrebné vyplniť!</v>
      </c>
      <c r="M13" s="24">
        <v>3</v>
      </c>
      <c r="N13" s="24" t="str">
        <f t="shared" si="0"/>
        <v>-</v>
      </c>
      <c r="O13" s="24" t="str">
        <f>IF(OR(N13="-",N13=" "),"","CHYBA")</f>
        <v/>
      </c>
      <c r="Q13" s="235" t="s">
        <v>193</v>
      </c>
      <c r="T13" s="24" t="str">
        <f>IF(T12="",SUBSTITUTE(D16," ",""),"")</f>
        <v>SKxxxxxxxxxxxxxxxxxxxxxx</v>
      </c>
    </row>
    <row r="14" spans="2:20" ht="13.8">
      <c r="B14" s="31" t="s">
        <v>39</v>
      </c>
      <c r="C14" s="32"/>
      <c r="D14" s="34"/>
      <c r="E14" s="124" t="str">
        <f>IF(OR(D14&lt;0,D14=""),"Údaj je potrebné vyplniť!","")</f>
        <v>Údaj je potrebné vyplniť!</v>
      </c>
      <c r="M14" s="24">
        <v>4</v>
      </c>
      <c r="N14" s="24" t="str">
        <f t="shared" si="0"/>
        <v>1</v>
      </c>
      <c r="O14" s="75" t="str">
        <f>IF(OR(N14="1",N14=" "),"","CHYBA")</f>
        <v/>
      </c>
      <c r="P14" s="75"/>
      <c r="Q14" s="235" t="s">
        <v>194</v>
      </c>
      <c r="T14" s="24" t="str">
        <f>CONCATENATE(MID(T13,5,20),LEFT(T13,4))</f>
        <v>xxxxxxxxxxxxxxxxxxxxSKxx</v>
      </c>
    </row>
    <row r="15" spans="2:20" ht="13.8">
      <c r="B15" s="31" t="s">
        <v>29</v>
      </c>
      <c r="C15" s="32"/>
      <c r="D15" s="34"/>
      <c r="E15" s="124" t="str">
        <f>IF(OR(D15&lt;0,D15=""),"Údaj je potrebné vyplniť!","")</f>
        <v>Údaj je potrebné vyplniť!</v>
      </c>
      <c r="M15" s="24">
        <v>5</v>
      </c>
      <c r="N15" s="24" t="str">
        <f t="shared" si="0"/>
        <v>x</v>
      </c>
      <c r="O15" s="75" t="str">
        <f>IF(ISNUMBER(VALUE(N15)),"","CHYBA")</f>
        <v>CHYBA</v>
      </c>
      <c r="P15" s="75"/>
      <c r="Q15" s="235" t="s">
        <v>195</v>
      </c>
      <c r="T15" s="24" t="str">
        <f>CONCATENATE(LEFT(T14,20),REPLACE(MID(T14,21,1),1,1,2820),RIGHT(T14,2))</f>
        <v>xxxxxxxxxxxxxxxxxxxx2820xx</v>
      </c>
    </row>
    <row r="16" spans="2:20" ht="13.8">
      <c r="B16" s="31" t="str">
        <f>IF(subjek="nie","ČÍSLO ÚČTU POISTNÍKA v tvare IBAN:","ČÍSLO ÚČTU v tvare IBAN:")</f>
        <v>ČÍSLO ÚČTU v tvare IBAN:</v>
      </c>
      <c r="C16" s="32"/>
      <c r="D16" s="35" t="s">
        <v>313</v>
      </c>
      <c r="E16" s="124" t="str">
        <f>IF(subjek="áno",IF(OR(D16="SKxx xxxx xxxx xxxx xxxx xxxx",D16=""),"",IF(AND(D16&lt;&gt;"",T20=""),"",T20)),"")</f>
        <v/>
      </c>
      <c r="I16" s="49"/>
      <c r="M16" s="24">
        <v>6</v>
      </c>
      <c r="N16" s="24" t="str">
        <f t="shared" si="0"/>
        <v>x</v>
      </c>
      <c r="O16" s="24" t="str">
        <f>IF(ISNUMBER(VALUE(N16)),"","CHYBA")</f>
        <v>CHYBA</v>
      </c>
      <c r="Q16" s="235" t="s">
        <v>196</v>
      </c>
      <c r="T16" s="24" t="e">
        <f>MOD(VALUE(LEFT($T$15,9)),97)</f>
        <v>#VALUE!</v>
      </c>
    </row>
    <row r="17" spans="1:20" ht="13.8">
      <c r="B17" s="493" t="s">
        <v>224</v>
      </c>
      <c r="C17" s="494"/>
      <c r="D17" s="252"/>
      <c r="E17" s="124" t="str">
        <f>IF(subjek="áno",IF(AND(Poistne!C10="elektronické avízo",OR(D17="",D17="@")),"Údaj je potrebné vyplniť!",""),"")</f>
        <v/>
      </c>
      <c r="I17" s="49"/>
      <c r="M17" s="24">
        <v>7</v>
      </c>
      <c r="N17" s="24" t="str">
        <f>MID($D$4,M17,1)</f>
        <v>x</v>
      </c>
      <c r="O17" s="24" t="str">
        <f>IF(OR(N17="",ISNUMBER(VALUE(N17))),"","CHYBA")</f>
        <v>CHYBA</v>
      </c>
      <c r="Q17" s="235" t="s">
        <v>197</v>
      </c>
      <c r="T17" s="24" t="e">
        <f>MOD(VALUE(CONCATENATE(T16,MID($T$15,10,7))),97)</f>
        <v>#VALUE!</v>
      </c>
    </row>
    <row r="18" spans="1:20" ht="13.5" customHeight="1">
      <c r="B18" s="493" t="s">
        <v>113</v>
      </c>
      <c r="C18" s="494"/>
      <c r="D18" s="34"/>
      <c r="E18" s="124" t="str">
        <f>IF(OR(D18&lt;0,D18=""),"Údaj je potrebné vyplniť!","")</f>
        <v>Údaj je potrebné vyplniť!</v>
      </c>
      <c r="M18" s="24">
        <v>8</v>
      </c>
      <c r="N18" s="24" t="str">
        <f t="shared" si="0"/>
        <v>x</v>
      </c>
      <c r="O18" s="24" t="str">
        <f>IF(OR(N18="",ISNUMBER(VALUE(N18))),"","CHYBA")</f>
        <v>CHYBA</v>
      </c>
      <c r="Q18" s="235" t="s">
        <v>197</v>
      </c>
      <c r="T18" s="24" t="e">
        <f>MOD(VALUE(CONCATENATE(T17,MID($T$15,17,7))),97)</f>
        <v>#VALUE!</v>
      </c>
    </row>
    <row r="19" spans="1:20" ht="14.25" customHeight="1" thickBot="1">
      <c r="B19" s="493" t="s">
        <v>60</v>
      </c>
      <c r="C19" s="494"/>
      <c r="D19" s="34"/>
      <c r="E19" s="124" t="str">
        <f>IF(OR(D19&lt;0,D19=""),"Údaj je potrebné vyplniť!","")</f>
        <v>Údaj je potrebné vyplniť!</v>
      </c>
      <c r="M19" s="24">
        <v>9</v>
      </c>
      <c r="N19" s="24" t="str">
        <f t="shared" si="0"/>
        <v>x</v>
      </c>
      <c r="O19" s="24" t="str">
        <f>IF(OR(N19="",ISNUMBER(VALUE(N19))),"","CHYBA")</f>
        <v>CHYBA</v>
      </c>
      <c r="Q19" s="235" t="s">
        <v>198</v>
      </c>
      <c r="T19" s="24" t="e">
        <f>MOD(VALUE(CONCATENATE(T18,MID($T$15,24,7))),97)</f>
        <v>#VALUE!</v>
      </c>
    </row>
    <row r="20" spans="1:20" ht="19.5" customHeight="1" thickBot="1">
      <c r="A20" s="130"/>
      <c r="B20" s="498"/>
      <c r="C20" s="498"/>
      <c r="D20" s="129"/>
      <c r="E20" s="124"/>
      <c r="M20" s="24">
        <v>10</v>
      </c>
      <c r="N20" s="24" t="str">
        <f>MID($D$4,M20,1)</f>
        <v/>
      </c>
      <c r="O20" s="24" t="str">
        <f>IF(OR(N20="",ISNUMBER(VALUE(N20))),"","CHYBA")</f>
        <v/>
      </c>
      <c r="Q20" s="235" t="s">
        <v>199</v>
      </c>
      <c r="T20" s="24" t="str">
        <f>IF(ISERROR(T19),"Zlý IBAN!",IF(T19=1,"","Zlý IBAN!"))</f>
        <v>Zlý IBAN!</v>
      </c>
    </row>
    <row r="21" spans="1:20" ht="20.25" customHeight="1" thickBot="1">
      <c r="A21" s="130" t="s">
        <v>117</v>
      </c>
      <c r="B21" s="490" t="s">
        <v>115</v>
      </c>
      <c r="C21" s="491"/>
      <c r="D21" s="492"/>
      <c r="E21" s="124"/>
      <c r="M21" s="24">
        <v>11</v>
      </c>
      <c r="N21" s="24" t="str">
        <f>MID($D$4,M21,1)</f>
        <v/>
      </c>
      <c r="O21" s="24" t="str">
        <f>IF(N21="","","CHYBA")</f>
        <v/>
      </c>
      <c r="Q21" s="235"/>
    </row>
    <row r="22" spans="1:20" ht="3" customHeight="1" thickBot="1">
      <c r="A22" s="130" t="s">
        <v>117</v>
      </c>
      <c r="E22" s="124"/>
      <c r="Q22" s="49"/>
    </row>
    <row r="23" spans="1:20" ht="14.25" customHeight="1">
      <c r="A23" s="130" t="s">
        <v>117</v>
      </c>
      <c r="B23" s="29" t="s">
        <v>35</v>
      </c>
      <c r="C23" s="30"/>
      <c r="D23" s="37"/>
      <c r="E23" s="124" t="str">
        <f>IF(OR(D23&lt;0,D23=""),"Údaj je potrebné vyplniť!","")</f>
        <v>Údaj je potrebné vyplniť!</v>
      </c>
      <c r="Q23" s="49"/>
    </row>
    <row r="24" spans="1:20" ht="14.25" customHeight="1">
      <c r="A24" s="130" t="s">
        <v>117</v>
      </c>
      <c r="B24" s="31" t="s">
        <v>37</v>
      </c>
      <c r="C24" s="32"/>
      <c r="D24" s="34"/>
      <c r="E24" s="124" t="str">
        <f>IF(OR(D24&lt;0,D24=""),"Údaj je potrebné vyplniť!","")</f>
        <v>Údaj je potrebné vyplniť!</v>
      </c>
    </row>
    <row r="25" spans="1:20" ht="14.25" customHeight="1">
      <c r="A25" s="130" t="s">
        <v>117</v>
      </c>
      <c r="B25" s="31" t="s">
        <v>38</v>
      </c>
      <c r="C25" s="32"/>
      <c r="D25" s="34"/>
      <c r="E25" s="124" t="str">
        <f>IF(OR(D25&lt;0,D25=""),"Údaj je potrebné vyplniť!","")</f>
        <v>Údaj je potrebné vyplniť!</v>
      </c>
    </row>
    <row r="26" spans="1:20" ht="14.25" customHeight="1">
      <c r="A26" s="130" t="s">
        <v>117</v>
      </c>
      <c r="B26" s="31" t="s">
        <v>39</v>
      </c>
      <c r="C26" s="32"/>
      <c r="D26" s="34"/>
      <c r="E26" s="124" t="str">
        <f>IF(OR(D26&lt;0,D26=""),"Údaj je potrebné vyplniť!","")</f>
        <v>Údaj je potrebné vyplniť!</v>
      </c>
    </row>
    <row r="27" spans="1:20" ht="14.25" customHeight="1">
      <c r="A27" s="130" t="s">
        <v>117</v>
      </c>
      <c r="B27" s="493" t="s">
        <v>116</v>
      </c>
      <c r="C27" s="494"/>
      <c r="D27" s="35" t="s">
        <v>313</v>
      </c>
      <c r="E27" s="124" t="str">
        <f>IF(subjek="nie",IF(OR(D27="SKxx xxxx xxxx xxxx xxxx xxxx",D27=""),"",IF(AND(subjek="nie",D27&lt;&gt;"",T40=""),"",T40)),"")</f>
        <v/>
      </c>
    </row>
    <row r="28" spans="1:20" ht="14.25" customHeight="1" thickBot="1">
      <c r="A28" s="130" t="s">
        <v>117</v>
      </c>
      <c r="B28" s="499" t="s">
        <v>224</v>
      </c>
      <c r="C28" s="500"/>
      <c r="D28" s="252"/>
      <c r="E28" s="124" t="str">
        <f>IF(subjek="nie",IF(AND(Poistne!C10="elektronické avízo",OR(D28="",D28="@")),"Údaj je potrebné vyplniť!",""),"")</f>
        <v/>
      </c>
    </row>
    <row r="29" spans="1:20" ht="8.1" customHeight="1">
      <c r="A29" s="130" t="s">
        <v>117</v>
      </c>
      <c r="C29" s="33"/>
      <c r="E29" s="127"/>
    </row>
    <row r="30" spans="1:20" ht="8.1" customHeight="1" thickBot="1">
      <c r="A30" s="130"/>
      <c r="E30" s="127"/>
    </row>
    <row r="31" spans="1:20" ht="18.75" customHeight="1" thickBot="1">
      <c r="A31" s="130"/>
      <c r="B31" s="490" t="s">
        <v>114</v>
      </c>
      <c r="C31" s="491"/>
      <c r="D31" s="492"/>
      <c r="E31" s="127"/>
      <c r="Q31" s="46" t="s">
        <v>200</v>
      </c>
      <c r="T31" s="24" t="str">
        <f>IF(LEFT(D27,2)&lt;&gt;"SK","Účet nie je vedený v SR!","")</f>
        <v/>
      </c>
    </row>
    <row r="32" spans="1:20" ht="3" customHeight="1" thickBot="1">
      <c r="E32" s="127"/>
    </row>
    <row r="33" spans="2:20" ht="12.75" customHeight="1">
      <c r="B33" s="486" t="s">
        <v>108</v>
      </c>
      <c r="C33" s="487"/>
      <c r="D33" s="37"/>
      <c r="E33" s="127" t="str">
        <f>IF(OR(D33&lt;0,D33=""),"Údaj je potrebné vyplniť","")</f>
        <v>Údaj je potrebné vyplniť</v>
      </c>
      <c r="Q33" s="235" t="s">
        <v>193</v>
      </c>
      <c r="T33" s="24" t="str">
        <f>IF(AND(T31="",subjek="nie"),SUBSTITUTE(D27," ",""),"")</f>
        <v/>
      </c>
    </row>
    <row r="34" spans="2:20" ht="12.75" customHeight="1">
      <c r="B34" s="488" t="s">
        <v>109</v>
      </c>
      <c r="C34" s="489"/>
      <c r="D34" s="34"/>
      <c r="E34" s="127" t="str">
        <f>IF(OR(D34&lt;0,D34=""),"Údaj je potrebné vyplniť","")</f>
        <v>Údaj je potrebné vyplniť</v>
      </c>
      <c r="Q34" s="235" t="s">
        <v>194</v>
      </c>
      <c r="T34" s="24" t="str">
        <f>CONCATENATE(MID(T33,5,20),LEFT(T33,4))</f>
        <v/>
      </c>
    </row>
    <row r="35" spans="2:20" ht="12.75" customHeight="1">
      <c r="B35" s="31" t="s">
        <v>64</v>
      </c>
      <c r="C35" s="32"/>
      <c r="D35" s="34"/>
      <c r="E35" s="127"/>
      <c r="Q35" s="235" t="s">
        <v>195</v>
      </c>
      <c r="T35" s="24" t="str">
        <f>CONCATENATE(LEFT(T34,20),REPLACE(MID(T34,21,1),1,1,2820),RIGHT(T34,2))</f>
        <v>2820</v>
      </c>
    </row>
    <row r="36" spans="2:20" ht="13.8">
      <c r="B36" s="31" t="s">
        <v>65</v>
      </c>
      <c r="C36" s="32"/>
      <c r="D36" s="34"/>
      <c r="E36" s="127"/>
      <c r="Q36" s="235" t="s">
        <v>196</v>
      </c>
      <c r="T36" s="24">
        <f>MOD(VALUE(LEFT($T$35,9)),97)</f>
        <v>7</v>
      </c>
    </row>
    <row r="37" spans="2:20" ht="14.4" thickBot="1">
      <c r="B37" s="50" t="s">
        <v>66</v>
      </c>
      <c r="C37" s="51"/>
      <c r="D37" s="52"/>
      <c r="E37" s="127"/>
      <c r="Q37" s="235" t="s">
        <v>197</v>
      </c>
      <c r="T37" s="24">
        <f>MOD(VALUE(CONCATENATE(T36,MID($T$35,10,7))),97)</f>
        <v>7</v>
      </c>
    </row>
    <row r="38" spans="2:20" ht="13.8">
      <c r="D38" s="46"/>
      <c r="Q38" s="235" t="s">
        <v>197</v>
      </c>
      <c r="T38" s="24">
        <f>MOD(VALUE(CONCATENATE(T37,MID($T$35,17,7))),97)</f>
        <v>7</v>
      </c>
    </row>
    <row r="39" spans="2:20" ht="13.8">
      <c r="Q39" s="235" t="s">
        <v>198</v>
      </c>
      <c r="T39" s="24">
        <f>MOD(VALUE(CONCATENATE(T38,MID($T$35,24,7))),97)</f>
        <v>7</v>
      </c>
    </row>
    <row r="40" spans="2:20" ht="14.4" thickBot="1">
      <c r="Q40" s="235" t="s">
        <v>199</v>
      </c>
      <c r="T40" s="24" t="str">
        <f>IF(ISERROR(T39),"Zlý IBAN!",IF(T39=1,"","Zlý IBAN!"))</f>
        <v>Zlý IBAN!</v>
      </c>
    </row>
    <row r="41" spans="2:20">
      <c r="B41" s="480" t="s">
        <v>156</v>
      </c>
      <c r="C41" s="481"/>
      <c r="D41" s="133" t="s">
        <v>316</v>
      </c>
      <c r="E41" s="228"/>
    </row>
    <row r="42" spans="2:20">
      <c r="B42" s="482" t="s">
        <v>157</v>
      </c>
      <c r="C42" s="483"/>
      <c r="D42" s="134" t="s">
        <v>317</v>
      </c>
      <c r="E42" s="228" t="str">
        <f>IF(AND(Poistne!C5&lt;D42,D42&lt;&gt;"DD.MM.YYYY"),"PZ musí byť podpísaná pred začiatkom účinnosti PZ!",IF(AND(Poistne!C5&lt;D42,D42&lt;&gt;"DD.MM.YYYY",D43=""),"Ak je dátum podpisu zhodný s dátumom účinnosti PZ, doplňte hodinu podpisu",""))</f>
        <v/>
      </c>
    </row>
    <row r="43" spans="2:20" ht="13.8" thickBot="1">
      <c r="B43" s="484" t="s">
        <v>271</v>
      </c>
      <c r="C43" s="485"/>
      <c r="D43" s="135"/>
      <c r="E43" s="229"/>
      <c r="F43" s="291" t="str">
        <f>IF(D43="","Ak uvádzate čas podpisu, uveďte ho v tvare HH:MM, napr 11:00","")</f>
        <v>Ak uvádzate čas podpisu, uveďte ho v tvare HH:MM, napr 11:00</v>
      </c>
    </row>
    <row r="44" spans="2:20" ht="13.8" thickBot="1">
      <c r="E44" s="230"/>
    </row>
    <row r="45" spans="2:20">
      <c r="B45" s="480" t="s">
        <v>158</v>
      </c>
      <c r="C45" s="481"/>
      <c r="D45" s="328" t="s">
        <v>316</v>
      </c>
      <c r="E45" s="230"/>
    </row>
    <row r="46" spans="2:20">
      <c r="B46" s="482" t="s">
        <v>157</v>
      </c>
      <c r="C46" s="483"/>
      <c r="D46" s="136" t="s">
        <v>317</v>
      </c>
      <c r="E46" s="127" t="str">
        <f>IF(AND(Poistne!C5&lt;D46,D46&lt;&gt;"DD.MM.YYYY"),"PZ musí byť podpísaná pred začiatkom účinnosti PZ!",IF(AND(Poistne!C5&lt;D46,D46&lt;&gt;"DD.MM.YYYY",D47=""),"Ak je dátum podpisu zhodný s dátumom účinnosti PZ, doplňte hodinu podpisu",""))</f>
        <v/>
      </c>
    </row>
    <row r="47" spans="2:20" ht="13.8" thickBot="1">
      <c r="B47" s="484" t="s">
        <v>271</v>
      </c>
      <c r="C47" s="485"/>
      <c r="D47" s="135"/>
      <c r="E47" s="230"/>
      <c r="F47" s="291" t="str">
        <f>IF(D47="","Ak uvádzate čas podpisu, uveďte ho v tvare HH:MM, napr 11:00","")</f>
        <v>Ak uvádzate čas podpisu, uveďte ho v tvare HH:MM, napr 11:00</v>
      </c>
    </row>
  </sheetData>
  <sheetProtection algorithmName="SHA-512" hashValue="bqxxj9o0M1aI121eth1KWOGD0LdLUTJNLO0Ae46x41nLvwjbAjX9tAR2XzLMzXjkqpHrlDagPP3BTJVEg/Dwkg==" saltValue="gWWtcaJohloWCWJyzFGF1Q==" spinCount="100000" sheet="1" objects="1" scenarios="1"/>
  <mergeCells count="20">
    <mergeCell ref="B33:C33"/>
    <mergeCell ref="B34:C34"/>
    <mergeCell ref="B21:D21"/>
    <mergeCell ref="B27:C27"/>
    <mergeCell ref="B2:D2"/>
    <mergeCell ref="B9:D9"/>
    <mergeCell ref="B31:D31"/>
    <mergeCell ref="B5:C5"/>
    <mergeCell ref="B6:C6"/>
    <mergeCell ref="B18:C18"/>
    <mergeCell ref="B19:C19"/>
    <mergeCell ref="B20:C20"/>
    <mergeCell ref="B28:C28"/>
    <mergeCell ref="B17:C17"/>
    <mergeCell ref="B45:C45"/>
    <mergeCell ref="B46:C46"/>
    <mergeCell ref="B47:C47"/>
    <mergeCell ref="B41:C41"/>
    <mergeCell ref="B42:C42"/>
    <mergeCell ref="B43:C43"/>
  </mergeCells>
  <phoneticPr fontId="12" type="noConversion"/>
  <conditionalFormatting sqref="E2">
    <cfRule type="cellIs" dxfId="4" priority="1" stopIfTrue="1" operator="equal">
      <formula>"O.K."</formula>
    </cfRule>
  </conditionalFormatting>
  <dataValidations count="2">
    <dataValidation type="list" allowBlank="1" showInputMessage="1" showErrorMessage="1" sqref="D5:D6" xr:uid="{00000000-0002-0000-0500-000000000000}">
      <formula1>"áno,nie,"</formula1>
    </dataValidation>
    <dataValidation type="list" allowBlank="1" showInputMessage="1" sqref="D17 D28" xr:uid="{00000000-0002-0000-0500-000001000000}">
      <formula1>"@"</formula1>
    </dataValidation>
  </dataValidations>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63" r:id="rId4" name="Button 19">
              <controlPr locked="0" defaultSize="0" print="0" autoFill="0" autoPict="0" macro="[0]!maz_vstup">
                <anchor moveWithCells="1" sizeWithCells="1">
                  <from>
                    <xdr:col>8</xdr:col>
                    <xdr:colOff>289560</xdr:colOff>
                    <xdr:row>0</xdr:row>
                    <xdr:rowOff>259080</xdr:rowOff>
                  </from>
                  <to>
                    <xdr:col>11</xdr:col>
                    <xdr:colOff>266700</xdr:colOff>
                    <xdr:row>1</xdr:row>
                    <xdr:rowOff>68580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tabColor rgb="FF00B050"/>
    <pageSetUpPr fitToPage="1"/>
  </sheetPr>
  <dimension ref="A2:CT432"/>
  <sheetViews>
    <sheetView zoomScale="110" zoomScaleNormal="110" zoomScaleSheetLayoutView="90" workbookViewId="0">
      <pane ySplit="3" topLeftCell="A4" activePane="bottomLeft" state="frozen"/>
      <selection pane="bottomLeft"/>
    </sheetView>
  </sheetViews>
  <sheetFormatPr defaultColWidth="9.109375" defaultRowHeight="13.2"/>
  <cols>
    <col min="1" max="1" width="3.33203125" style="217" customWidth="1"/>
    <col min="2" max="2" width="3.6640625" style="255" customWidth="1"/>
    <col min="3" max="3" width="3.6640625" style="140" customWidth="1"/>
    <col min="4" max="4" width="1.88671875" style="140" customWidth="1"/>
    <col min="5" max="5" width="1.6640625" style="143" customWidth="1"/>
    <col min="6" max="9" width="1.88671875" style="143" customWidth="1"/>
    <col min="10" max="10" width="0.6640625" style="143" customWidth="1"/>
    <col min="11" max="33" width="1.88671875" style="143" customWidth="1"/>
    <col min="34" max="34" width="1.33203125" style="143" customWidth="1"/>
    <col min="35" max="38" width="1.88671875" style="143" customWidth="1"/>
    <col min="39" max="39" width="0.6640625" style="143" customWidth="1"/>
    <col min="40" max="50" width="1.88671875" style="143" customWidth="1"/>
    <col min="51" max="51" width="1.44140625" style="143" customWidth="1"/>
    <col min="52" max="52" width="0.6640625" style="143" customWidth="1"/>
    <col min="53" max="53" width="9.109375" style="146"/>
    <col min="54" max="57" width="9.109375" style="143"/>
    <col min="58" max="62" width="0" style="143" hidden="1" customWidth="1"/>
    <col min="63" max="16384" width="9.109375" style="143"/>
  </cols>
  <sheetData>
    <row r="2" spans="1:75" ht="15.75" customHeight="1">
      <c r="E2" s="141"/>
      <c r="F2" s="141"/>
      <c r="G2" s="141"/>
      <c r="H2" s="141"/>
      <c r="I2" s="141"/>
      <c r="J2" s="141"/>
      <c r="K2" s="141"/>
      <c r="L2" s="141"/>
      <c r="M2" s="142"/>
      <c r="O2" s="144"/>
      <c r="AQ2" s="145" t="s">
        <v>118</v>
      </c>
      <c r="AR2" s="543" t="str">
        <f>IF(vstupne_udaje!D4="xx-1xxxxx","",vstupne_udaje!D4)</f>
        <v/>
      </c>
      <c r="AS2" s="543"/>
      <c r="AT2" s="543"/>
      <c r="AU2" s="543"/>
      <c r="AV2" s="543"/>
      <c r="AW2" s="543"/>
      <c r="AX2" s="543"/>
      <c r="AY2" s="543"/>
      <c r="BC2" s="411" t="str">
        <f ca="1">IF(test1="Chyba!","CHYBA - v hárku Poistné!",IF(test2="Chyba!","CHYBA - v hárku Vstupné údaje!","O.K."))</f>
        <v>CHYBA - v hárku Vstupné údaje!</v>
      </c>
    </row>
    <row r="3" spans="1:75" ht="8.25" customHeight="1">
      <c r="E3" s="147"/>
      <c r="F3" s="147"/>
      <c r="G3" s="147"/>
      <c r="H3" s="147"/>
      <c r="I3" s="147"/>
      <c r="J3" s="147"/>
      <c r="K3" s="147"/>
      <c r="L3" s="147"/>
      <c r="M3" s="147"/>
      <c r="O3" s="148"/>
    </row>
    <row r="4" spans="1:75" ht="16.5" customHeight="1">
      <c r="E4" s="147"/>
      <c r="F4" s="147"/>
      <c r="G4" s="147"/>
      <c r="H4" s="147"/>
      <c r="I4" s="147"/>
      <c r="J4" s="147"/>
      <c r="K4" s="147"/>
      <c r="L4" s="147"/>
      <c r="M4" s="147"/>
      <c r="O4" s="148"/>
    </row>
    <row r="5" spans="1:75" ht="18" customHeight="1">
      <c r="C5" s="149"/>
      <c r="D5" s="556" t="s">
        <v>30</v>
      </c>
      <c r="E5" s="556"/>
      <c r="F5" s="556"/>
      <c r="G5" s="556"/>
      <c r="H5" s="556"/>
      <c r="I5" s="556"/>
      <c r="J5" s="556"/>
      <c r="K5" s="556"/>
      <c r="L5" s="556"/>
      <c r="M5" s="556"/>
      <c r="N5" s="556"/>
      <c r="O5" s="556"/>
      <c r="P5" s="556"/>
      <c r="Q5" s="556"/>
      <c r="R5" s="556"/>
      <c r="S5" s="556"/>
      <c r="T5" s="556"/>
      <c r="U5" s="556"/>
      <c r="V5" s="556"/>
      <c r="W5" s="556"/>
      <c r="X5" s="556"/>
      <c r="Y5" s="556"/>
      <c r="Z5" s="556"/>
      <c r="AA5" s="556"/>
      <c r="AB5" s="556"/>
      <c r="AC5" s="556"/>
      <c r="AD5" s="556"/>
      <c r="AE5" s="556"/>
      <c r="AF5" s="556"/>
      <c r="AG5" s="556"/>
      <c r="AH5" s="556"/>
      <c r="AI5" s="556"/>
      <c r="AJ5" s="556"/>
      <c r="AK5" s="556"/>
      <c r="AL5" s="556"/>
      <c r="AM5" s="556"/>
      <c r="AN5" s="556"/>
      <c r="AO5" s="556"/>
      <c r="AP5" s="556"/>
      <c r="AQ5" s="556"/>
      <c r="AR5" s="556"/>
      <c r="AS5" s="556"/>
      <c r="AT5" s="556"/>
      <c r="AU5" s="556"/>
      <c r="AV5" s="556"/>
      <c r="AW5" s="556"/>
      <c r="AX5" s="556"/>
      <c r="AY5" s="556"/>
      <c r="AZ5" s="150"/>
    </row>
    <row r="6" spans="1:75" ht="11.25" customHeight="1"/>
    <row r="7" spans="1:75" ht="27" customHeight="1">
      <c r="C7" s="151"/>
      <c r="D7" s="553" t="s">
        <v>107</v>
      </c>
      <c r="E7" s="554"/>
      <c r="F7" s="554"/>
      <c r="G7" s="554"/>
      <c r="H7" s="554"/>
      <c r="I7" s="554"/>
      <c r="J7" s="554"/>
      <c r="K7" s="554"/>
      <c r="L7" s="554"/>
      <c r="M7" s="554"/>
      <c r="N7" s="554"/>
      <c r="O7" s="554"/>
      <c r="P7" s="554"/>
      <c r="Q7" s="554"/>
      <c r="R7" s="554"/>
      <c r="S7" s="554"/>
      <c r="T7" s="554"/>
      <c r="U7" s="554"/>
      <c r="V7" s="554"/>
      <c r="W7" s="554"/>
      <c r="X7" s="554"/>
      <c r="Y7" s="554"/>
      <c r="Z7" s="554"/>
      <c r="AA7" s="554"/>
      <c r="AB7" s="554"/>
      <c r="AC7" s="554"/>
      <c r="AD7" s="554"/>
      <c r="AE7" s="554"/>
      <c r="AF7" s="554"/>
      <c r="AG7" s="554"/>
      <c r="AH7" s="554"/>
      <c r="AI7" s="554"/>
      <c r="AJ7" s="554"/>
      <c r="AK7" s="554"/>
      <c r="AL7" s="554"/>
      <c r="AM7" s="554"/>
      <c r="AN7" s="554"/>
      <c r="AO7" s="554"/>
      <c r="AP7" s="554"/>
      <c r="AQ7" s="554"/>
      <c r="AR7" s="554"/>
      <c r="AS7" s="554"/>
      <c r="AT7" s="554"/>
      <c r="AU7" s="554"/>
      <c r="AV7" s="554"/>
      <c r="AW7" s="554"/>
      <c r="AX7" s="554"/>
      <c r="AY7" s="555"/>
      <c r="AZ7" s="152"/>
    </row>
    <row r="8" spans="1:75" ht="11.25" customHeight="1">
      <c r="C8" s="153"/>
      <c r="D8" s="153"/>
      <c r="E8" s="153"/>
      <c r="F8" s="153"/>
      <c r="G8" s="153"/>
      <c r="H8" s="153"/>
      <c r="I8" s="153"/>
      <c r="J8" s="153"/>
      <c r="K8" s="153"/>
      <c r="L8" s="153"/>
      <c r="M8" s="153"/>
      <c r="N8" s="153"/>
      <c r="O8" s="153"/>
    </row>
    <row r="9" spans="1:75" ht="13.5" customHeight="1">
      <c r="A9" s="217" t="s">
        <v>117</v>
      </c>
      <c r="C9" s="154"/>
      <c r="D9" s="544" t="s">
        <v>265</v>
      </c>
      <c r="E9" s="544"/>
      <c r="F9" s="544"/>
      <c r="G9" s="544"/>
      <c r="H9" s="544"/>
      <c r="I9" s="544"/>
      <c r="J9" s="544"/>
      <c r="K9" s="544"/>
      <c r="L9" s="544"/>
      <c r="M9" s="544"/>
      <c r="N9" s="544"/>
      <c r="O9" s="544"/>
      <c r="P9" s="544"/>
      <c r="Q9" s="544"/>
      <c r="R9" s="544"/>
      <c r="S9" s="544"/>
      <c r="T9" s="544"/>
      <c r="U9" s="544"/>
      <c r="V9" s="544"/>
      <c r="W9" s="544"/>
      <c r="X9" s="544"/>
      <c r="Y9" s="544"/>
      <c r="Z9" s="544"/>
      <c r="AA9" s="544"/>
      <c r="AB9" s="544"/>
      <c r="AC9" s="544"/>
      <c r="AD9" s="544"/>
      <c r="AE9" s="544"/>
      <c r="AF9" s="544"/>
      <c r="AG9" s="544"/>
      <c r="AH9" s="544"/>
      <c r="AI9" s="544"/>
      <c r="AJ9" s="544"/>
      <c r="AK9" s="544"/>
      <c r="AL9" s="544"/>
      <c r="AM9" s="544"/>
      <c r="AN9" s="544"/>
      <c r="AO9" s="544"/>
      <c r="AP9" s="544"/>
      <c r="AQ9" s="544"/>
      <c r="AR9" s="544"/>
      <c r="AS9" s="544"/>
      <c r="AT9" s="544"/>
      <c r="AU9" s="544"/>
      <c r="AV9" s="544"/>
      <c r="AW9" s="544"/>
      <c r="AX9" s="544"/>
      <c r="AY9" s="544"/>
    </row>
    <row r="10" spans="1:75" ht="13.5" customHeight="1">
      <c r="C10" s="155"/>
      <c r="D10" s="545" t="s">
        <v>55</v>
      </c>
      <c r="E10" s="545"/>
      <c r="F10" s="545"/>
      <c r="G10" s="545"/>
      <c r="H10" s="545"/>
      <c r="I10" s="545"/>
      <c r="J10" s="545"/>
      <c r="K10" s="545"/>
      <c r="L10" s="545"/>
      <c r="M10" s="545"/>
      <c r="N10" s="545"/>
      <c r="O10" s="545"/>
      <c r="P10" s="545"/>
      <c r="Q10" s="545"/>
      <c r="R10" s="545"/>
      <c r="S10" s="545"/>
      <c r="T10" s="545"/>
      <c r="U10" s="545"/>
      <c r="V10" s="545"/>
      <c r="W10" s="545"/>
      <c r="X10" s="545"/>
      <c r="Y10" s="545"/>
      <c r="Z10" s="545"/>
      <c r="AA10" s="545"/>
      <c r="AB10" s="545"/>
      <c r="AC10" s="545"/>
      <c r="AD10" s="545"/>
      <c r="AE10" s="545"/>
      <c r="AF10" s="545"/>
      <c r="AG10" s="545"/>
      <c r="AH10" s="545"/>
      <c r="AI10" s="545"/>
      <c r="AJ10" s="545"/>
      <c r="AK10" s="545"/>
      <c r="AL10" s="545"/>
      <c r="AM10" s="545"/>
      <c r="AN10" s="545"/>
      <c r="AO10" s="545"/>
      <c r="AP10" s="545"/>
      <c r="AQ10" s="545"/>
      <c r="AR10" s="545"/>
      <c r="AS10" s="545"/>
      <c r="AT10" s="545"/>
      <c r="AU10" s="545"/>
      <c r="AV10" s="545"/>
      <c r="AW10" s="545"/>
      <c r="AX10" s="545"/>
      <c r="AY10" s="545"/>
    </row>
    <row r="11" spans="1:75" ht="13.5" customHeight="1">
      <c r="C11" s="155"/>
      <c r="D11" s="545" t="s">
        <v>56</v>
      </c>
      <c r="E11" s="545"/>
      <c r="F11" s="545"/>
      <c r="G11" s="545"/>
      <c r="H11" s="545"/>
      <c r="I11" s="545"/>
      <c r="J11" s="545"/>
      <c r="K11" s="545"/>
      <c r="L11" s="545"/>
      <c r="M11" s="545"/>
      <c r="N11" s="545"/>
      <c r="O11" s="545"/>
      <c r="P11" s="545"/>
      <c r="Q11" s="545"/>
      <c r="R11" s="545"/>
      <c r="S11" s="545"/>
      <c r="T11" s="545"/>
      <c r="U11" s="545"/>
      <c r="V11" s="545"/>
      <c r="W11" s="545"/>
      <c r="X11" s="545"/>
      <c r="Y11" s="545"/>
      <c r="Z11" s="545"/>
      <c r="AA11" s="545"/>
      <c r="AB11" s="545"/>
      <c r="AC11" s="545"/>
      <c r="AD11" s="545"/>
      <c r="AE11" s="545"/>
      <c r="AF11" s="545"/>
      <c r="AG11" s="545"/>
      <c r="AH11" s="545"/>
      <c r="AI11" s="545"/>
      <c r="AJ11" s="545"/>
      <c r="AK11" s="545"/>
      <c r="AL11" s="545"/>
      <c r="AM11" s="545"/>
      <c r="AN11" s="545"/>
      <c r="AO11" s="545"/>
      <c r="AP11" s="545"/>
      <c r="AQ11" s="545"/>
      <c r="AR11" s="545"/>
      <c r="AS11" s="545"/>
      <c r="AT11" s="545"/>
      <c r="AU11" s="545"/>
      <c r="AV11" s="545"/>
      <c r="AW11" s="545"/>
      <c r="AX11" s="545"/>
      <c r="AY11" s="545"/>
    </row>
    <row r="12" spans="1:75" ht="13.5" customHeight="1">
      <c r="C12" s="155"/>
      <c r="D12" s="545" t="s">
        <v>59</v>
      </c>
      <c r="E12" s="545"/>
      <c r="F12" s="545"/>
      <c r="G12" s="545"/>
      <c r="H12" s="545"/>
      <c r="I12" s="545"/>
      <c r="J12" s="545"/>
      <c r="K12" s="545"/>
      <c r="L12" s="545"/>
      <c r="M12" s="545"/>
      <c r="N12" s="545"/>
      <c r="O12" s="545"/>
      <c r="P12" s="545"/>
      <c r="Q12" s="545"/>
      <c r="R12" s="545"/>
      <c r="S12" s="545"/>
      <c r="T12" s="545"/>
      <c r="U12" s="545"/>
      <c r="V12" s="545"/>
      <c r="W12" s="545"/>
      <c r="X12" s="545"/>
      <c r="Y12" s="545"/>
      <c r="Z12" s="545"/>
      <c r="AA12" s="545"/>
      <c r="AB12" s="545"/>
      <c r="AC12" s="545"/>
      <c r="AD12" s="545"/>
      <c r="AE12" s="545"/>
      <c r="AF12" s="545"/>
      <c r="AG12" s="545"/>
      <c r="AH12" s="545"/>
      <c r="AI12" s="545"/>
      <c r="AJ12" s="545"/>
      <c r="AK12" s="545"/>
      <c r="AL12" s="545"/>
      <c r="AM12" s="545"/>
      <c r="AN12" s="545"/>
      <c r="AO12" s="545"/>
      <c r="AP12" s="545"/>
      <c r="AQ12" s="545"/>
      <c r="AR12" s="545"/>
      <c r="AS12" s="545"/>
      <c r="AT12" s="545"/>
      <c r="AU12" s="545"/>
      <c r="AV12" s="545"/>
      <c r="AW12" s="545"/>
      <c r="AX12" s="545"/>
      <c r="AY12" s="545"/>
    </row>
    <row r="13" spans="1:75" ht="15.6" customHeight="1">
      <c r="C13" s="155"/>
      <c r="D13" s="546" t="s">
        <v>57</v>
      </c>
      <c r="E13" s="546"/>
      <c r="F13" s="546"/>
      <c r="G13" s="546"/>
      <c r="H13" s="546"/>
      <c r="I13" s="546"/>
      <c r="J13" s="546"/>
      <c r="K13" s="546"/>
      <c r="L13" s="546"/>
      <c r="M13" s="546"/>
      <c r="N13" s="546"/>
      <c r="O13" s="546"/>
      <c r="P13" s="546"/>
      <c r="Q13" s="546"/>
      <c r="R13" s="546"/>
      <c r="S13" s="546"/>
      <c r="T13" s="546"/>
      <c r="U13" s="546"/>
      <c r="V13" s="546"/>
      <c r="W13" s="546"/>
      <c r="X13" s="546"/>
      <c r="Y13" s="546"/>
      <c r="Z13" s="546"/>
      <c r="AA13" s="546"/>
      <c r="AB13" s="546"/>
      <c r="AC13" s="546"/>
      <c r="AD13" s="546"/>
      <c r="AE13" s="546"/>
      <c r="AF13" s="546"/>
      <c r="AG13" s="546"/>
      <c r="AH13" s="546"/>
      <c r="AI13" s="546"/>
      <c r="AJ13" s="546"/>
      <c r="AK13" s="546"/>
      <c r="AL13" s="546"/>
      <c r="AM13" s="546"/>
      <c r="AN13" s="546"/>
      <c r="AO13" s="546"/>
      <c r="AP13" s="546"/>
      <c r="AQ13" s="546"/>
      <c r="AR13" s="546"/>
      <c r="AS13" s="546"/>
      <c r="AT13" s="546"/>
      <c r="AU13" s="546"/>
      <c r="AV13" s="546"/>
      <c r="AW13" s="546"/>
      <c r="AX13" s="546"/>
      <c r="AY13" s="546"/>
    </row>
    <row r="14" spans="1:75" ht="11.4" customHeight="1">
      <c r="C14" s="156"/>
      <c r="D14" s="547" t="s">
        <v>28</v>
      </c>
      <c r="E14" s="547"/>
      <c r="F14" s="547"/>
      <c r="G14" s="547"/>
      <c r="H14" s="547"/>
      <c r="I14" s="547"/>
      <c r="J14" s="547"/>
      <c r="K14" s="547"/>
      <c r="L14" s="547"/>
      <c r="M14" s="547"/>
      <c r="N14" s="547"/>
      <c r="O14" s="547"/>
      <c r="P14" s="547"/>
      <c r="Q14" s="547"/>
      <c r="R14" s="547"/>
      <c r="S14" s="547"/>
      <c r="T14" s="547"/>
      <c r="U14" s="547"/>
      <c r="V14" s="547"/>
      <c r="W14" s="547"/>
      <c r="X14" s="547"/>
      <c r="Y14" s="547"/>
      <c r="Z14" s="547"/>
      <c r="AA14" s="547"/>
      <c r="AB14" s="547"/>
      <c r="AC14" s="547"/>
      <c r="AD14" s="547"/>
      <c r="AE14" s="547"/>
      <c r="AF14" s="547"/>
      <c r="AG14" s="547"/>
      <c r="AH14" s="547"/>
      <c r="AI14" s="547"/>
      <c r="AJ14" s="547"/>
      <c r="AK14" s="547"/>
      <c r="AL14" s="547"/>
      <c r="AM14" s="547"/>
      <c r="AN14" s="547"/>
      <c r="AO14" s="547"/>
      <c r="AP14" s="547"/>
      <c r="AQ14" s="547"/>
      <c r="AR14" s="547"/>
      <c r="AS14" s="547"/>
      <c r="AT14" s="547"/>
      <c r="AU14" s="547"/>
      <c r="AV14" s="547"/>
      <c r="AW14" s="547"/>
      <c r="AX14" s="547"/>
      <c r="AY14" s="547"/>
    </row>
    <row r="15" spans="1:75" ht="21.75" customHeight="1">
      <c r="C15" s="156"/>
      <c r="D15" s="549" t="str">
        <f>IF(OR(vstupne_udaje!D11&gt;0,vstupne_udaje!D12&gt;0),CONCATENATE(vstupne_udaje!D11,", ",vstupne_udaje!D12,", ",vstupne_udaje!D13,"  ",vstupne_udaje!D14),"")</f>
        <v/>
      </c>
      <c r="E15" s="549"/>
      <c r="F15" s="549"/>
      <c r="G15" s="549"/>
      <c r="H15" s="549"/>
      <c r="I15" s="549"/>
      <c r="J15" s="549"/>
      <c r="K15" s="549"/>
      <c r="L15" s="549"/>
      <c r="M15" s="549"/>
      <c r="N15" s="549"/>
      <c r="O15" s="549"/>
      <c r="P15" s="549"/>
      <c r="Q15" s="549"/>
      <c r="R15" s="549"/>
      <c r="S15" s="549"/>
      <c r="T15" s="549"/>
      <c r="U15" s="549"/>
      <c r="V15" s="549"/>
      <c r="W15" s="549"/>
      <c r="X15" s="549"/>
      <c r="Y15" s="549"/>
      <c r="Z15" s="549"/>
      <c r="AA15" s="549"/>
      <c r="AB15" s="549"/>
      <c r="AC15" s="549"/>
      <c r="AD15" s="549"/>
      <c r="AE15" s="549"/>
      <c r="AF15" s="549"/>
      <c r="AG15" s="549"/>
      <c r="AH15" s="549"/>
      <c r="AI15" s="549"/>
      <c r="AJ15" s="549"/>
      <c r="AK15" s="549"/>
      <c r="AL15" s="549"/>
      <c r="AM15" s="549"/>
      <c r="AN15" s="549"/>
      <c r="AO15" s="549"/>
      <c r="AP15" s="549"/>
      <c r="AQ15" s="549"/>
      <c r="AR15" s="549"/>
      <c r="AS15" s="549"/>
      <c r="AT15" s="549"/>
      <c r="AU15" s="549"/>
      <c r="AV15" s="549"/>
      <c r="AW15" s="549"/>
      <c r="AX15" s="549"/>
      <c r="AY15" s="549"/>
      <c r="BC15" s="186"/>
      <c r="BD15" s="146"/>
      <c r="BE15" s="146"/>
      <c r="BF15" s="146"/>
      <c r="BG15" s="146"/>
      <c r="BH15" s="146"/>
      <c r="BI15" s="146"/>
      <c r="BJ15" s="146"/>
      <c r="BK15" s="146"/>
      <c r="BL15" s="146"/>
      <c r="BM15" s="146"/>
      <c r="BN15" s="146"/>
      <c r="BO15" s="146"/>
      <c r="BP15" s="146"/>
      <c r="BQ15" s="146"/>
      <c r="BR15" s="146"/>
      <c r="BS15" s="146"/>
      <c r="BT15" s="146"/>
      <c r="BU15" s="146"/>
      <c r="BV15" s="146"/>
      <c r="BW15" s="146"/>
    </row>
    <row r="16" spans="1:75" ht="13.8">
      <c r="C16" s="157"/>
      <c r="D16" s="550" t="str">
        <f>IF(vstupne_udaje!D15&gt;0,CONCATENATE("IČO ",vstupne_udaje!D15),"")</f>
        <v/>
      </c>
      <c r="E16" s="550"/>
      <c r="F16" s="550"/>
      <c r="G16" s="550"/>
      <c r="H16" s="550"/>
      <c r="I16" s="550"/>
      <c r="J16" s="550"/>
      <c r="K16" s="550"/>
      <c r="L16" s="550"/>
      <c r="M16" s="550"/>
      <c r="N16" s="550"/>
      <c r="O16" s="550"/>
      <c r="P16" s="550"/>
      <c r="Q16" s="550"/>
      <c r="R16" s="550"/>
      <c r="S16" s="550"/>
      <c r="T16" s="550"/>
      <c r="U16" s="550"/>
      <c r="V16" s="550"/>
      <c r="W16" s="550"/>
      <c r="X16" s="550"/>
      <c r="Y16" s="550"/>
      <c r="Z16" s="550"/>
      <c r="AA16" s="550"/>
      <c r="AB16" s="550"/>
      <c r="AC16" s="550"/>
      <c r="AD16" s="550"/>
      <c r="AE16" s="550"/>
      <c r="AF16" s="550"/>
      <c r="AG16" s="550"/>
      <c r="AH16" s="550"/>
      <c r="AI16" s="550"/>
      <c r="AJ16" s="550"/>
      <c r="AK16" s="550"/>
      <c r="AL16" s="550"/>
      <c r="AM16" s="550"/>
      <c r="AN16" s="550"/>
      <c r="AO16" s="550"/>
      <c r="AP16" s="550"/>
      <c r="AQ16" s="550"/>
      <c r="AR16" s="550"/>
      <c r="AS16" s="550"/>
      <c r="AT16" s="550"/>
      <c r="AU16" s="550"/>
      <c r="AV16" s="550"/>
      <c r="AW16" s="550"/>
      <c r="AX16" s="550"/>
      <c r="AY16" s="550"/>
    </row>
    <row r="17" spans="1:59" ht="13.8" hidden="1">
      <c r="C17" s="157"/>
      <c r="D17" s="550" t="str">
        <f>IF(vstupne_udaje!D17&lt;&gt;"",CONCATENATE("email:  ",vstupne_udaje!D17),"")</f>
        <v/>
      </c>
      <c r="E17" s="550"/>
      <c r="F17" s="550"/>
      <c r="G17" s="550"/>
      <c r="H17" s="550"/>
      <c r="I17" s="550"/>
      <c r="J17" s="550"/>
      <c r="K17" s="550"/>
      <c r="L17" s="550"/>
      <c r="M17" s="550"/>
      <c r="N17" s="550"/>
      <c r="O17" s="550"/>
      <c r="P17" s="550"/>
      <c r="Q17" s="550"/>
      <c r="R17" s="550"/>
      <c r="S17" s="550"/>
      <c r="T17" s="550"/>
      <c r="U17" s="550"/>
      <c r="V17" s="550"/>
      <c r="W17" s="550"/>
      <c r="X17" s="550"/>
      <c r="Y17" s="550"/>
      <c r="Z17" s="550"/>
      <c r="AA17" s="550"/>
      <c r="AB17" s="550"/>
      <c r="AC17" s="550"/>
      <c r="AD17" s="550"/>
      <c r="AE17" s="550"/>
      <c r="AF17" s="550"/>
      <c r="AG17" s="550"/>
      <c r="AH17" s="550"/>
      <c r="AI17" s="550"/>
      <c r="AJ17" s="550"/>
      <c r="AK17" s="550"/>
      <c r="AL17" s="550"/>
      <c r="AM17" s="550"/>
      <c r="AN17" s="550"/>
      <c r="AO17" s="550"/>
      <c r="AP17" s="550"/>
      <c r="AQ17" s="550"/>
      <c r="AR17" s="550"/>
      <c r="AS17" s="550"/>
      <c r="AT17" s="550"/>
      <c r="AU17" s="550"/>
      <c r="AV17" s="550"/>
      <c r="AW17" s="550"/>
      <c r="AX17" s="550"/>
      <c r="AY17" s="550"/>
    </row>
    <row r="18" spans="1:59" ht="13.8" hidden="1">
      <c r="C18" s="157"/>
      <c r="D18" s="550" t="str">
        <f>IF(vstupne_udaje!D16="","",IF(vstupne_udaje!D16&lt;&gt;"SKxx xxxx xxxx xxxx xxxx xxxx",CONCATENATE("číslo účtu: IBAN ",vstupne_udaje!D16),""))</f>
        <v/>
      </c>
      <c r="E18" s="550"/>
      <c r="F18" s="550"/>
      <c r="G18" s="550"/>
      <c r="H18" s="550"/>
      <c r="I18" s="550"/>
      <c r="J18" s="550"/>
      <c r="K18" s="550"/>
      <c r="L18" s="550"/>
      <c r="M18" s="550"/>
      <c r="N18" s="550"/>
      <c r="O18" s="550"/>
      <c r="P18" s="550"/>
      <c r="Q18" s="550"/>
      <c r="R18" s="550"/>
      <c r="S18" s="550"/>
      <c r="T18" s="550"/>
      <c r="U18" s="550"/>
      <c r="V18" s="550"/>
      <c r="W18" s="550"/>
      <c r="X18" s="550"/>
      <c r="Y18" s="550"/>
      <c r="Z18" s="550"/>
      <c r="AA18" s="550"/>
      <c r="AB18" s="550"/>
      <c r="AC18" s="550"/>
      <c r="AD18" s="550"/>
      <c r="AE18" s="550"/>
      <c r="AF18" s="550"/>
      <c r="AG18" s="550"/>
      <c r="AH18" s="550"/>
      <c r="AI18" s="550"/>
      <c r="AJ18" s="550"/>
      <c r="AK18" s="550"/>
      <c r="AL18" s="550"/>
      <c r="AM18" s="550"/>
      <c r="AN18" s="550"/>
      <c r="AO18" s="550"/>
      <c r="AP18" s="550"/>
      <c r="AQ18" s="550"/>
      <c r="AR18" s="550"/>
      <c r="AS18" s="550"/>
      <c r="AT18" s="550"/>
      <c r="AU18" s="550"/>
      <c r="AV18" s="550"/>
      <c r="AW18" s="550"/>
      <c r="AX18" s="550"/>
      <c r="AY18" s="550"/>
    </row>
    <row r="19" spans="1:59" ht="15.6" customHeight="1">
      <c r="C19" s="158"/>
      <c r="D19" s="548" t="str">
        <f>IF(vstupne_udaje!D6="áno","(ďalej len „poistník“ alebo „škola“)","(ďalej len „poistník“)")</f>
        <v>(ďalej len „poistník“)</v>
      </c>
      <c r="E19" s="548"/>
      <c r="F19" s="548"/>
      <c r="G19" s="548"/>
      <c r="H19" s="548"/>
      <c r="I19" s="548"/>
      <c r="J19" s="548"/>
      <c r="K19" s="548"/>
      <c r="L19" s="548"/>
      <c r="M19" s="548"/>
      <c r="N19" s="548"/>
      <c r="O19" s="548"/>
      <c r="P19" s="548"/>
      <c r="Q19" s="548"/>
      <c r="R19" s="548"/>
      <c r="S19" s="548"/>
      <c r="T19" s="548"/>
      <c r="U19" s="548"/>
      <c r="V19" s="548"/>
      <c r="W19" s="548"/>
      <c r="X19" s="548"/>
      <c r="Y19" s="548"/>
      <c r="Z19" s="548"/>
      <c r="AA19" s="548"/>
      <c r="AB19" s="548"/>
      <c r="AC19" s="548"/>
      <c r="AD19" s="548"/>
      <c r="AE19" s="548"/>
      <c r="AF19" s="548"/>
      <c r="AG19" s="548"/>
      <c r="AH19" s="548"/>
      <c r="AI19" s="548"/>
      <c r="AJ19" s="548"/>
      <c r="AK19" s="548"/>
      <c r="AL19" s="548"/>
      <c r="AM19" s="548"/>
      <c r="AN19" s="548"/>
      <c r="AO19" s="548"/>
      <c r="AP19" s="548"/>
      <c r="AQ19" s="548"/>
      <c r="AR19" s="548"/>
      <c r="AS19" s="548"/>
      <c r="AT19" s="548"/>
      <c r="AU19" s="548"/>
      <c r="AV19" s="548"/>
      <c r="AW19" s="548"/>
      <c r="AX19" s="548"/>
      <c r="AY19" s="548"/>
    </row>
    <row r="20" spans="1:59" ht="13.5" customHeight="1">
      <c r="C20" s="158"/>
      <c r="D20" s="548" t="str">
        <f>IF(vstupne_udaje!D6="áno","???","ako zriaďovateľ školy:")</f>
        <v>ako zriaďovateľ školy:</v>
      </c>
      <c r="E20" s="548"/>
      <c r="F20" s="548"/>
      <c r="G20" s="548"/>
      <c r="H20" s="548"/>
      <c r="I20" s="548"/>
      <c r="J20" s="548"/>
      <c r="K20" s="548"/>
      <c r="L20" s="548"/>
      <c r="M20" s="548"/>
      <c r="N20" s="548"/>
      <c r="O20" s="548"/>
      <c r="P20" s="548"/>
      <c r="Q20" s="548"/>
      <c r="R20" s="548"/>
      <c r="S20" s="548"/>
      <c r="T20" s="548"/>
      <c r="U20" s="548"/>
      <c r="V20" s="548"/>
      <c r="W20" s="548"/>
      <c r="X20" s="548"/>
      <c r="Y20" s="548"/>
      <c r="Z20" s="548"/>
      <c r="AA20" s="548"/>
      <c r="AB20" s="548"/>
      <c r="AC20" s="548"/>
      <c r="AD20" s="548"/>
      <c r="AE20" s="548"/>
      <c r="AF20" s="548"/>
      <c r="AG20" s="548"/>
      <c r="AH20" s="548"/>
      <c r="AI20" s="548"/>
      <c r="AJ20" s="548"/>
      <c r="AK20" s="548"/>
      <c r="AL20" s="548"/>
      <c r="AM20" s="548"/>
      <c r="AN20" s="548"/>
      <c r="AO20" s="548"/>
      <c r="AP20" s="548"/>
      <c r="AQ20" s="548"/>
      <c r="AR20" s="548"/>
      <c r="AS20" s="548"/>
      <c r="AT20" s="548"/>
      <c r="AU20" s="548"/>
      <c r="AV20" s="548"/>
      <c r="AW20" s="548"/>
      <c r="AX20" s="548"/>
      <c r="AY20" s="548"/>
    </row>
    <row r="21" spans="1:59" ht="13.5" customHeight="1">
      <c r="C21" s="158"/>
      <c r="D21" s="548" t="str">
        <f>IF(vstupne_udaje!D6="áno","???",IF(OR(vstupne_udaje!D23&gt;0,vstupne_udaje!D24&gt;0),CONCATENATE(vstupne_udaje!D23,", ",vstupne_udaje!D24,", ",vstupne_udaje!D25,"  ",vstupne_udaje!D26),""))</f>
        <v/>
      </c>
      <c r="E21" s="548"/>
      <c r="F21" s="548"/>
      <c r="G21" s="548"/>
      <c r="H21" s="548"/>
      <c r="I21" s="548"/>
      <c r="J21" s="548"/>
      <c r="K21" s="548"/>
      <c r="L21" s="548"/>
      <c r="M21" s="548"/>
      <c r="N21" s="548"/>
      <c r="O21" s="548"/>
      <c r="P21" s="548"/>
      <c r="Q21" s="548"/>
      <c r="R21" s="548"/>
      <c r="S21" s="548"/>
      <c r="T21" s="548"/>
      <c r="U21" s="548"/>
      <c r="V21" s="548"/>
      <c r="W21" s="548"/>
      <c r="X21" s="548"/>
      <c r="Y21" s="548"/>
      <c r="Z21" s="548"/>
      <c r="AA21" s="548"/>
      <c r="AB21" s="548"/>
      <c r="AC21" s="548"/>
      <c r="AD21" s="548"/>
      <c r="AE21" s="548"/>
      <c r="AF21" s="548"/>
      <c r="AG21" s="548"/>
      <c r="AH21" s="548"/>
      <c r="AI21" s="548"/>
      <c r="AJ21" s="548"/>
      <c r="AK21" s="548"/>
      <c r="AL21" s="548"/>
      <c r="AM21" s="548"/>
      <c r="AN21" s="548"/>
      <c r="AO21" s="548"/>
      <c r="AP21" s="548"/>
      <c r="AQ21" s="548"/>
      <c r="AR21" s="548"/>
      <c r="AS21" s="548"/>
      <c r="AT21" s="548"/>
      <c r="AU21" s="548"/>
      <c r="AV21" s="548"/>
      <c r="AW21" s="548"/>
      <c r="AX21" s="548"/>
      <c r="AY21" s="548"/>
    </row>
    <row r="22" spans="1:59" s="172" customFormat="1" ht="13.5" customHeight="1">
      <c r="A22" s="217"/>
      <c r="B22" s="255"/>
      <c r="C22" s="251"/>
      <c r="D22" s="559" t="str">
        <f>IF(vstupne_udaje!D28&lt;&gt;"",CONCATENATE("email:  ",vstupne_udaje!D28),"")</f>
        <v/>
      </c>
      <c r="E22" s="559"/>
      <c r="F22" s="559"/>
      <c r="G22" s="559"/>
      <c r="H22" s="559"/>
      <c r="I22" s="559"/>
      <c r="J22" s="559"/>
      <c r="K22" s="559"/>
      <c r="L22" s="559"/>
      <c r="M22" s="559"/>
      <c r="N22" s="559"/>
      <c r="O22" s="559"/>
      <c r="P22" s="559"/>
      <c r="Q22" s="559"/>
      <c r="R22" s="559"/>
      <c r="S22" s="559"/>
      <c r="T22" s="559"/>
      <c r="U22" s="559"/>
      <c r="V22" s="559"/>
      <c r="W22" s="559"/>
      <c r="X22" s="559"/>
      <c r="Y22" s="559"/>
      <c r="Z22" s="559"/>
      <c r="AA22" s="559"/>
      <c r="AB22" s="559"/>
      <c r="AC22" s="559"/>
      <c r="AD22" s="559"/>
      <c r="AE22" s="559"/>
      <c r="AF22" s="559"/>
      <c r="AG22" s="559"/>
      <c r="AH22" s="559"/>
      <c r="AI22" s="559"/>
      <c r="AJ22" s="559"/>
      <c r="AK22" s="559"/>
      <c r="AL22" s="559"/>
      <c r="AM22" s="559"/>
      <c r="AN22" s="559"/>
      <c r="AO22" s="559"/>
      <c r="AP22" s="559"/>
      <c r="AQ22" s="559"/>
      <c r="AR22" s="559"/>
      <c r="AS22" s="559"/>
      <c r="AT22" s="559"/>
      <c r="AU22" s="559"/>
      <c r="AV22" s="559"/>
      <c r="AW22" s="559"/>
      <c r="AX22" s="559"/>
      <c r="AY22" s="559"/>
      <c r="BA22" s="186"/>
    </row>
    <row r="23" spans="1:59" ht="13.5" customHeight="1">
      <c r="C23" s="158"/>
      <c r="D23" s="559" t="str">
        <f>IF(vstupne_udaje!D6="áno","???",IF(vstupne_udaje!D27&lt;&gt;"SKxx xxxx xxxx xxxx xxxx xxxx",CONCATENATE("číslo účtu: IBAN ",vstupne_udaje!D27),""))</f>
        <v/>
      </c>
      <c r="E23" s="559"/>
      <c r="F23" s="559"/>
      <c r="G23" s="559"/>
      <c r="H23" s="559"/>
      <c r="I23" s="559"/>
      <c r="J23" s="559"/>
      <c r="K23" s="559"/>
      <c r="L23" s="559"/>
      <c r="M23" s="559"/>
      <c r="N23" s="559"/>
      <c r="O23" s="559"/>
      <c r="P23" s="559"/>
      <c r="Q23" s="559"/>
      <c r="R23" s="559"/>
      <c r="S23" s="559"/>
      <c r="T23" s="559"/>
      <c r="U23" s="559"/>
      <c r="V23" s="559"/>
      <c r="W23" s="559"/>
      <c r="X23" s="559"/>
      <c r="Y23" s="559"/>
      <c r="Z23" s="559"/>
      <c r="AA23" s="559"/>
      <c r="AB23" s="559"/>
      <c r="AC23" s="559"/>
      <c r="AD23" s="559"/>
      <c r="AE23" s="559"/>
      <c r="AF23" s="559"/>
      <c r="AG23" s="559"/>
      <c r="AH23" s="559"/>
      <c r="AI23" s="559"/>
      <c r="AJ23" s="559"/>
      <c r="AK23" s="559"/>
      <c r="AL23" s="559"/>
      <c r="AM23" s="559"/>
      <c r="AN23" s="559"/>
      <c r="AO23" s="559"/>
      <c r="AP23" s="559"/>
      <c r="AQ23" s="559"/>
      <c r="AR23" s="559"/>
      <c r="AS23" s="559"/>
      <c r="AT23" s="559"/>
      <c r="AU23" s="559"/>
      <c r="AV23" s="559"/>
      <c r="AW23" s="559"/>
      <c r="AX23" s="559"/>
      <c r="AY23" s="559"/>
    </row>
    <row r="24" spans="1:59" ht="30" customHeight="1">
      <c r="C24" s="159"/>
      <c r="D24" s="560" t="s">
        <v>254</v>
      </c>
      <c r="E24" s="560"/>
      <c r="F24" s="560"/>
      <c r="G24" s="560"/>
      <c r="H24" s="560"/>
      <c r="I24" s="560"/>
      <c r="J24" s="560"/>
      <c r="K24" s="560"/>
      <c r="L24" s="560"/>
      <c r="M24" s="560"/>
      <c r="N24" s="560"/>
      <c r="O24" s="560"/>
      <c r="P24" s="560"/>
      <c r="Q24" s="560"/>
      <c r="R24" s="560"/>
      <c r="S24" s="560"/>
      <c r="T24" s="560"/>
      <c r="U24" s="560"/>
      <c r="V24" s="560"/>
      <c r="W24" s="560"/>
      <c r="X24" s="560"/>
      <c r="Y24" s="560"/>
      <c r="Z24" s="560"/>
      <c r="AA24" s="560"/>
      <c r="AB24" s="560"/>
      <c r="AC24" s="560"/>
      <c r="AD24" s="560"/>
      <c r="AE24" s="560"/>
      <c r="AF24" s="560"/>
      <c r="AG24" s="560"/>
      <c r="AH24" s="560"/>
      <c r="AI24" s="560"/>
      <c r="AJ24" s="560"/>
      <c r="AK24" s="560"/>
      <c r="AL24" s="560"/>
      <c r="AM24" s="560"/>
      <c r="AN24" s="560"/>
      <c r="AO24" s="560"/>
      <c r="AP24" s="560"/>
      <c r="AQ24" s="560"/>
      <c r="AR24" s="560"/>
      <c r="AS24" s="560"/>
      <c r="AT24" s="560"/>
      <c r="AU24" s="560"/>
      <c r="AV24" s="560"/>
      <c r="AW24" s="560"/>
      <c r="AX24" s="560"/>
      <c r="AY24" s="560"/>
    </row>
    <row r="25" spans="1:59" ht="3" customHeight="1">
      <c r="B25" s="255" t="s">
        <v>166</v>
      </c>
      <c r="C25" s="160"/>
      <c r="D25" s="160"/>
      <c r="E25" s="160"/>
      <c r="F25" s="160"/>
      <c r="G25" s="160"/>
      <c r="H25" s="160"/>
      <c r="I25" s="160"/>
      <c r="J25" s="160"/>
      <c r="K25" s="160"/>
      <c r="L25" s="160"/>
      <c r="M25" s="160"/>
      <c r="N25" s="160"/>
      <c r="O25" s="160"/>
      <c r="P25" s="161"/>
      <c r="Q25" s="161"/>
      <c r="R25" s="161"/>
    </row>
    <row r="26" spans="1:59" s="163" customFormat="1" ht="13.65" customHeight="1">
      <c r="A26" s="218"/>
      <c r="B26" s="256" t="s">
        <v>166</v>
      </c>
      <c r="C26" s="162"/>
      <c r="D26" s="551" t="s">
        <v>33</v>
      </c>
      <c r="E26" s="551"/>
      <c r="F26" s="551"/>
      <c r="G26" s="551"/>
      <c r="H26" s="551"/>
      <c r="I26" s="551"/>
      <c r="J26" s="551"/>
      <c r="K26" s="551"/>
      <c r="L26" s="551"/>
      <c r="M26" s="551"/>
      <c r="N26" s="558">
        <f>IF(Poistne!C5&gt;0,Poistne!C5,"")</f>
        <v>44805</v>
      </c>
      <c r="O26" s="558"/>
      <c r="P26" s="558"/>
      <c r="Q26" s="558"/>
      <c r="R26" s="558"/>
      <c r="S26" s="558"/>
      <c r="T26" s="558"/>
      <c r="U26" s="558"/>
      <c r="V26" s="558"/>
      <c r="W26" s="558"/>
      <c r="X26" s="558"/>
      <c r="Y26" s="558"/>
      <c r="Z26" s="558"/>
      <c r="AA26" s="558"/>
      <c r="AB26" s="558"/>
      <c r="AC26" s="558"/>
      <c r="AD26" s="558"/>
      <c r="AE26" s="558"/>
      <c r="AF26" s="558"/>
      <c r="AG26" s="558"/>
      <c r="AH26" s="558"/>
      <c r="AI26" s="558"/>
      <c r="AJ26" s="558"/>
      <c r="AK26" s="558"/>
      <c r="AL26" s="558"/>
      <c r="AM26" s="558"/>
      <c r="AN26" s="558"/>
      <c r="AO26" s="558"/>
      <c r="AP26" s="558"/>
      <c r="AQ26" s="558"/>
      <c r="AR26" s="558"/>
      <c r="AS26" s="558"/>
      <c r="AT26" s="558"/>
      <c r="AU26" s="558"/>
      <c r="AV26" s="558"/>
      <c r="AW26" s="558"/>
      <c r="AX26" s="558"/>
      <c r="AY26" s="558"/>
      <c r="BA26" s="164"/>
    </row>
    <row r="27" spans="1:59" s="163" customFormat="1" ht="1.2" hidden="1" customHeight="1">
      <c r="A27" s="218"/>
      <c r="B27" s="256" t="s">
        <v>166</v>
      </c>
      <c r="C27" s="162"/>
      <c r="D27" s="165"/>
      <c r="E27" s="165"/>
      <c r="F27" s="165"/>
      <c r="G27" s="165"/>
      <c r="H27" s="165"/>
      <c r="I27" s="165"/>
      <c r="J27" s="253"/>
      <c r="K27" s="165"/>
      <c r="L27" s="165"/>
      <c r="M27" s="165"/>
      <c r="N27" s="557" t="s">
        <v>282</v>
      </c>
      <c r="O27" s="557"/>
      <c r="P27" s="557"/>
      <c r="Q27" s="557"/>
      <c r="R27" s="557"/>
      <c r="S27" s="557"/>
      <c r="T27" s="557"/>
      <c r="U27" s="557"/>
      <c r="V27" s="557"/>
      <c r="W27" s="557"/>
      <c r="X27" s="557"/>
      <c r="Y27" s="557"/>
      <c r="Z27" s="557"/>
      <c r="AA27" s="557"/>
      <c r="AB27" s="557"/>
      <c r="AC27" s="557"/>
      <c r="AD27" s="557"/>
      <c r="AE27" s="557"/>
      <c r="AF27" s="557"/>
      <c r="AG27" s="557"/>
      <c r="AH27" s="557"/>
      <c r="AI27" s="557"/>
      <c r="AJ27" s="557"/>
      <c r="AK27" s="557"/>
      <c r="AL27" s="557"/>
      <c r="AM27" s="557"/>
      <c r="AN27" s="557"/>
      <c r="AO27" s="557"/>
      <c r="AP27" s="557"/>
      <c r="AQ27" s="557"/>
      <c r="AR27" s="557"/>
      <c r="AS27" s="557"/>
      <c r="AT27" s="557"/>
      <c r="AU27" s="557"/>
      <c r="AV27" s="557"/>
      <c r="AW27" s="557"/>
      <c r="AX27" s="557"/>
      <c r="AY27" s="557"/>
      <c r="BA27" s="164"/>
    </row>
    <row r="28" spans="1:59" s="163" customFormat="1" ht="3" customHeight="1">
      <c r="A28" s="218"/>
      <c r="B28" s="256"/>
      <c r="C28" s="166"/>
      <c r="D28" s="166"/>
      <c r="E28" s="166"/>
      <c r="F28" s="166"/>
      <c r="G28" s="166"/>
      <c r="H28" s="167"/>
      <c r="I28" s="167"/>
      <c r="J28" s="167"/>
      <c r="K28" s="167"/>
      <c r="L28" s="167"/>
      <c r="M28" s="167"/>
      <c r="N28" s="167"/>
      <c r="O28" s="167"/>
      <c r="BA28" s="164"/>
    </row>
    <row r="29" spans="1:59" ht="13.65" customHeight="1">
      <c r="C29" s="168"/>
      <c r="D29" s="551" t="s">
        <v>32</v>
      </c>
      <c r="E29" s="551"/>
      <c r="F29" s="551"/>
      <c r="G29" s="551"/>
      <c r="H29" s="551"/>
      <c r="I29" s="551"/>
      <c r="J29" s="551"/>
      <c r="K29" s="551"/>
      <c r="L29" s="551"/>
      <c r="M29" s="551"/>
      <c r="N29" s="558">
        <f>IF(AND(doba="určitá",Poistne!C7&gt;0),Poistne!C7,IF(doba="neurčitá","Poistenie sa dojednáva na dobu neurčitú.",""))</f>
        <v>45169</v>
      </c>
      <c r="O29" s="558"/>
      <c r="P29" s="558"/>
      <c r="Q29" s="558"/>
      <c r="R29" s="558"/>
      <c r="S29" s="558"/>
      <c r="T29" s="558"/>
      <c r="U29" s="558"/>
      <c r="V29" s="558"/>
      <c r="W29" s="558"/>
      <c r="X29" s="558"/>
      <c r="Y29" s="558"/>
      <c r="Z29" s="558"/>
      <c r="AA29" s="558"/>
      <c r="AB29" s="558"/>
      <c r="AC29" s="558"/>
      <c r="AD29" s="558"/>
      <c r="AE29" s="558"/>
      <c r="AF29" s="558"/>
      <c r="AG29" s="558"/>
      <c r="AH29" s="558"/>
      <c r="AI29" s="558"/>
      <c r="AJ29" s="558"/>
      <c r="AK29" s="558"/>
      <c r="AL29" s="558"/>
      <c r="AM29" s="558"/>
      <c r="AN29" s="558"/>
      <c r="AO29" s="558"/>
      <c r="AP29" s="558"/>
      <c r="AQ29" s="558"/>
      <c r="AR29" s="558"/>
      <c r="AS29" s="558"/>
      <c r="AT29" s="558"/>
      <c r="AU29" s="558"/>
      <c r="AV29" s="558"/>
      <c r="AW29" s="558"/>
      <c r="AX29" s="558"/>
      <c r="AY29" s="558"/>
    </row>
    <row r="30" spans="1:59" ht="3" customHeight="1">
      <c r="C30" s="165"/>
      <c r="D30" s="165"/>
      <c r="E30" s="165"/>
      <c r="F30" s="165"/>
      <c r="G30" s="165"/>
      <c r="H30" s="169"/>
      <c r="I30" s="169"/>
      <c r="J30" s="254"/>
      <c r="K30" s="169"/>
      <c r="L30" s="169"/>
      <c r="M30" s="169"/>
      <c r="N30" s="169"/>
      <c r="O30" s="169"/>
      <c r="P30" s="170"/>
      <c r="Q30" s="170"/>
    </row>
    <row r="31" spans="1:59" ht="15" customHeight="1">
      <c r="B31" s="255" t="s">
        <v>166</v>
      </c>
      <c r="C31" s="168"/>
      <c r="D31" s="551" t="s">
        <v>19</v>
      </c>
      <c r="E31" s="551"/>
      <c r="F31" s="551"/>
      <c r="G31" s="551"/>
      <c r="H31" s="551"/>
      <c r="I31" s="551"/>
      <c r="J31" s="551"/>
      <c r="K31" s="551"/>
      <c r="L31" s="551"/>
      <c r="M31" s="551"/>
      <c r="N31" s="561" t="str">
        <f>IF(zamest=TRUE,"podľa jednotlivých predmetov poistenia uvedených v tabuľke č. 1 a tabuľke č. 2:","podľa jednotlivých predmetov poistenia uvedených v tabuľke č. 1:")</f>
        <v>podľa jednotlivých predmetov poistenia uvedených v tabuľke č. 1 a tabuľke č. 2:</v>
      </c>
      <c r="O31" s="561"/>
      <c r="P31" s="561"/>
      <c r="Q31" s="561"/>
      <c r="R31" s="561"/>
      <c r="S31" s="561"/>
      <c r="T31" s="561"/>
      <c r="U31" s="561"/>
      <c r="V31" s="561"/>
      <c r="W31" s="561"/>
      <c r="X31" s="561"/>
      <c r="Y31" s="561"/>
      <c r="Z31" s="561"/>
      <c r="AA31" s="561"/>
      <c r="AB31" s="561"/>
      <c r="AC31" s="561"/>
      <c r="AD31" s="561"/>
      <c r="AE31" s="561"/>
      <c r="AF31" s="561"/>
      <c r="AG31" s="561"/>
      <c r="AH31" s="561"/>
      <c r="AI31" s="561"/>
      <c r="AJ31" s="561"/>
      <c r="AK31" s="561"/>
      <c r="AL31" s="561"/>
      <c r="AM31" s="561"/>
      <c r="AN31" s="561"/>
      <c r="AO31" s="561"/>
      <c r="AP31" s="561"/>
      <c r="AQ31" s="561"/>
      <c r="AR31" s="561"/>
      <c r="AS31" s="561"/>
      <c r="AT31" s="561"/>
      <c r="AU31" s="561"/>
      <c r="AV31" s="561"/>
      <c r="AW31" s="561"/>
      <c r="AX31" s="561"/>
      <c r="AY31" s="561"/>
    </row>
    <row r="32" spans="1:59" ht="21" customHeight="1">
      <c r="B32" s="255" t="s">
        <v>166</v>
      </c>
      <c r="C32" s="165"/>
      <c r="D32" s="165"/>
      <c r="E32" s="165"/>
      <c r="F32" s="165"/>
      <c r="G32" s="165"/>
      <c r="H32" s="171"/>
      <c r="I32" s="171"/>
      <c r="J32" s="171"/>
      <c r="K32" s="171"/>
      <c r="L32" s="171"/>
      <c r="M32" s="171"/>
      <c r="N32" s="562" t="s">
        <v>58</v>
      </c>
      <c r="O32" s="562"/>
      <c r="P32" s="564" t="s">
        <v>276</v>
      </c>
      <c r="Q32" s="564"/>
      <c r="R32" s="564"/>
      <c r="S32" s="564"/>
      <c r="T32" s="564"/>
      <c r="U32" s="564"/>
      <c r="V32" s="564"/>
      <c r="W32" s="564"/>
      <c r="X32" s="564"/>
      <c r="Y32" s="564"/>
      <c r="Z32" s="564"/>
      <c r="AA32" s="564"/>
      <c r="AB32" s="564"/>
      <c r="AC32" s="564"/>
      <c r="AD32" s="564"/>
      <c r="AE32" s="564"/>
      <c r="AF32" s="564"/>
      <c r="AG32" s="564"/>
      <c r="AH32" s="564"/>
      <c r="AI32" s="564"/>
      <c r="AJ32" s="564"/>
      <c r="AK32" s="564"/>
      <c r="AL32" s="564"/>
      <c r="AM32" s="564"/>
      <c r="AN32" s="564"/>
      <c r="AO32" s="564"/>
      <c r="AP32" s="564"/>
      <c r="AQ32" s="564"/>
      <c r="AR32" s="564"/>
      <c r="AS32" s="564"/>
      <c r="AT32" s="564"/>
      <c r="AU32" s="564"/>
      <c r="AV32" s="564"/>
      <c r="AW32" s="564"/>
      <c r="AX32" s="564"/>
      <c r="AY32" s="564"/>
      <c r="BB32" s="186"/>
      <c r="BG32" s="172"/>
    </row>
    <row r="33" spans="2:66" ht="31.5" customHeight="1">
      <c r="B33" s="255" t="s">
        <v>166</v>
      </c>
      <c r="C33" s="171"/>
      <c r="D33" s="171"/>
      <c r="E33" s="173"/>
      <c r="F33" s="173"/>
      <c r="G33" s="173"/>
      <c r="H33" s="171"/>
      <c r="I33" s="174"/>
      <c r="J33" s="174"/>
      <c r="K33" s="174"/>
      <c r="L33" s="174"/>
      <c r="M33" s="174"/>
      <c r="N33" s="563" t="s">
        <v>31</v>
      </c>
      <c r="O33" s="563"/>
      <c r="P33" s="565" t="str">
        <f>IF(AND(odcud&gt;0,subjek="áno"),CONCATENATE(vstupne_udaje!D12,", ",vstupne_udaje!D13," ",vstupne_udaje!D14," a iné miesta na území Slovenskej republiky, ktoré škola využíva na organizovaný pobyt poistených žiakov (študentov)."),IF(AND(odcud&gt;0,subjek="nie"),CONCATENATE(vstupne_udaje!D24,", ",vstupne_udaje!D25,"  ",vstupne_udaje!D26," a iné miesta na území Slovenskej republiky, ktoré škola využíva na organizovaný pobyt poistených žiakov (študentov)."),""))</f>
        <v/>
      </c>
      <c r="Q33" s="565"/>
      <c r="R33" s="565"/>
      <c r="S33" s="565"/>
      <c r="T33" s="565"/>
      <c r="U33" s="565"/>
      <c r="V33" s="565"/>
      <c r="W33" s="565"/>
      <c r="X33" s="565"/>
      <c r="Y33" s="565"/>
      <c r="Z33" s="565"/>
      <c r="AA33" s="565"/>
      <c r="AB33" s="565"/>
      <c r="AC33" s="565"/>
      <c r="AD33" s="565"/>
      <c r="AE33" s="565"/>
      <c r="AF33" s="565"/>
      <c r="AG33" s="565"/>
      <c r="AH33" s="565"/>
      <c r="AI33" s="565"/>
      <c r="AJ33" s="565"/>
      <c r="AK33" s="565"/>
      <c r="AL33" s="565"/>
      <c r="AM33" s="565"/>
      <c r="AN33" s="565"/>
      <c r="AO33" s="565"/>
      <c r="AP33" s="565"/>
      <c r="AQ33" s="565"/>
      <c r="AR33" s="565"/>
      <c r="AS33" s="565"/>
      <c r="AT33" s="565"/>
      <c r="AU33" s="565"/>
      <c r="AV33" s="565"/>
      <c r="AW33" s="565"/>
      <c r="AX33" s="565"/>
      <c r="AY33" s="565"/>
      <c r="AZ33" s="171"/>
      <c r="BG33" s="172"/>
    </row>
    <row r="34" spans="2:66" ht="31.2" customHeight="1">
      <c r="B34" s="255" t="s">
        <v>166</v>
      </c>
      <c r="C34" s="183"/>
      <c r="D34" s="183"/>
      <c r="E34" s="361"/>
      <c r="F34" s="361"/>
      <c r="G34" s="361"/>
      <c r="H34" s="183"/>
      <c r="I34" s="181"/>
      <c r="J34" s="181"/>
      <c r="K34" s="181"/>
      <c r="L34" s="181"/>
      <c r="M34" s="181"/>
      <c r="N34" s="527" t="str">
        <f>IF(AND(odcud&gt;0,zodpov&gt;0),"c)",IF(AND(zodpov&gt;0,odcud&lt;200),"b)",""))</f>
        <v>c)</v>
      </c>
      <c r="O34" s="527"/>
      <c r="P34" s="528" t="str">
        <f>IF(subjek="áno",IF(AND(odcud&gt;=0,zodpov&gt;0),CONCATENATE(vstupne_udaje!D12,", ",vstupne_udaje!D13," ",vstupne_udaje!D14," a iné miesta na území Slovenskej republiky, ktoré škola využíva na organizovaný pobyt poistených žiakov (študentov)."),IF(AND(odcud&gt;0,zodpov&lt;1000),CONCATENATE(vstupne_udaje!D12,", ",vstupne_udaje!D13,",  ",vstupne_udaje!D14," a iné miesta na území Slovenskej republiky, ktoré škola využíva na organizovaný pobyt poistených žiakov (študentov).",""))),IF(subjek="nie",IF(AND(odcud&gt;=0,zodpov&gt;0),CONCATENATE(vstupne_udaje!D24,", ",vstupne_udaje!D25," ",vstupne_udaje!D26," a iné miesta na území Slovenskej republiky, ktoré škola využíva na organizovaný pobyt poistených žiakov (študentov)."),IF(AND(odcud&gt;0,zodpov&lt;1000),CONCATENATE(vstupne_udaje!D24,", ",vstupne_udaje!D25,",  ",vstupne_udaje!D26," a iné miesta na území Slovenskej republiky, ktoré škola využíva na organizovaný pobyt poistených žiakov (študentov)."))),""))</f>
        <v/>
      </c>
      <c r="Q34" s="528"/>
      <c r="R34" s="528"/>
      <c r="S34" s="528"/>
      <c r="T34" s="528"/>
      <c r="U34" s="528"/>
      <c r="V34" s="528"/>
      <c r="W34" s="528"/>
      <c r="X34" s="528"/>
      <c r="Y34" s="528"/>
      <c r="Z34" s="528"/>
      <c r="AA34" s="528"/>
      <c r="AB34" s="528"/>
      <c r="AC34" s="528"/>
      <c r="AD34" s="528"/>
      <c r="AE34" s="528"/>
      <c r="AF34" s="528"/>
      <c r="AG34" s="528"/>
      <c r="AH34" s="528"/>
      <c r="AI34" s="528"/>
      <c r="AJ34" s="528"/>
      <c r="AK34" s="528"/>
      <c r="AL34" s="528"/>
      <c r="AM34" s="528"/>
      <c r="AN34" s="528"/>
      <c r="AO34" s="528"/>
      <c r="AP34" s="528"/>
      <c r="AQ34" s="528"/>
      <c r="AR34" s="528"/>
      <c r="AS34" s="528"/>
      <c r="AT34" s="528"/>
      <c r="AU34" s="528"/>
      <c r="AV34" s="528"/>
      <c r="AW34" s="528"/>
      <c r="AX34" s="528"/>
      <c r="AY34" s="528"/>
      <c r="AZ34" s="171"/>
      <c r="BB34" s="501"/>
      <c r="BC34" s="501"/>
      <c r="BD34" s="501"/>
      <c r="BE34" s="501"/>
      <c r="BF34" s="501"/>
      <c r="BG34" s="501"/>
      <c r="BH34" s="501"/>
      <c r="BI34" s="501"/>
      <c r="BJ34" s="501"/>
      <c r="BK34" s="501"/>
      <c r="BL34" s="146"/>
      <c r="BM34" s="146"/>
      <c r="BN34" s="146"/>
    </row>
    <row r="35" spans="2:66" ht="1.95" customHeight="1">
      <c r="C35" s="183"/>
      <c r="D35" s="183"/>
      <c r="E35" s="361"/>
      <c r="F35" s="361"/>
      <c r="G35" s="361"/>
      <c r="H35" s="183"/>
      <c r="I35" s="356"/>
      <c r="J35" s="356"/>
      <c r="K35" s="356"/>
      <c r="L35" s="356"/>
      <c r="M35" s="356"/>
      <c r="N35" s="355"/>
      <c r="O35" s="356"/>
      <c r="P35" s="183"/>
      <c r="Q35" s="183"/>
      <c r="R35" s="183"/>
      <c r="S35" s="183"/>
      <c r="T35" s="183"/>
      <c r="U35" s="183"/>
      <c r="V35" s="183"/>
      <c r="W35" s="183"/>
      <c r="X35" s="183"/>
      <c r="Y35" s="183"/>
      <c r="Z35" s="183"/>
      <c r="AA35" s="183"/>
      <c r="AB35" s="183"/>
      <c r="AC35" s="183"/>
      <c r="AD35" s="183"/>
      <c r="AE35" s="183"/>
      <c r="AF35" s="183"/>
      <c r="AG35" s="183"/>
      <c r="AH35" s="183"/>
      <c r="AI35" s="183"/>
      <c r="AJ35" s="183"/>
      <c r="AK35" s="183"/>
      <c r="AL35" s="183"/>
      <c r="AM35" s="183"/>
      <c r="AN35" s="183"/>
      <c r="AO35" s="183"/>
      <c r="AP35" s="183"/>
      <c r="AQ35" s="183"/>
      <c r="AR35" s="183"/>
      <c r="AS35" s="183"/>
      <c r="AT35" s="183"/>
      <c r="AU35" s="183"/>
      <c r="AV35" s="183"/>
      <c r="AW35" s="183"/>
      <c r="AX35" s="183"/>
      <c r="AY35" s="183"/>
      <c r="AZ35" s="171"/>
      <c r="BB35" s="501"/>
      <c r="BC35" s="501"/>
      <c r="BD35" s="501"/>
      <c r="BE35" s="501"/>
      <c r="BF35" s="501"/>
      <c r="BG35" s="501"/>
      <c r="BH35" s="501"/>
      <c r="BI35" s="501"/>
      <c r="BJ35" s="501"/>
      <c r="BK35" s="501"/>
      <c r="BL35" s="146"/>
      <c r="BM35" s="146"/>
      <c r="BN35" s="146"/>
    </row>
    <row r="36" spans="2:66" ht="43.95" customHeight="1">
      <c r="B36" s="255" t="s">
        <v>166</v>
      </c>
      <c r="C36" s="183"/>
      <c r="D36" s="552" t="s">
        <v>226</v>
      </c>
      <c r="E36" s="552"/>
      <c r="F36" s="552"/>
      <c r="G36" s="552"/>
      <c r="H36" s="552"/>
      <c r="I36" s="552"/>
      <c r="J36" s="552"/>
      <c r="K36" s="552"/>
      <c r="L36" s="552"/>
      <c r="M36" s="552"/>
      <c r="N36" s="528" t="str">
        <f>IF(AND(doba="určitá",zamest=TRUE),CONCATENATE("Žiaci a zamestnanci školy uvedení v prílohe č. 1 (Hlásenie počtu poistených osôb, ďalej aj „hlásenie“) tejto poistnej zmluvy, s výnimkou nepoistiteľných osôb podľa čl. 11 VPP ÚP."),IF(AND(doba="určitá",zamest=FALSE),CONCATENATE("Žiaci školy uvedení v prílohe č. 1 (Hlásenie počtu poistených osôb, ďalej aj „hlásenie“) tejto poistnej zmluvy, s výnimkou nepoistiteľných osôb podľa čl. 11 VPP ÚP."),IF(AND(doba="neurčitá",zamest=TRUE),CONCATENATE("Poistenými v prvom poistnom období sú žiaci a zamestnanci školy uvedení v prílohe č. 1 (Hlásenie počtu poistených osôb, ďalej aj „hlásenie“) tejto poistnej zmluvy, s výnimkou nepoistiteľných osôb podľa čl. 11 VPP ÚP."),IF(AND(doba="neurčitá",zamest=FALSE),CONCATENATE("Poistenými v prvom poistnom období sú žiaci školy uvedení v prílohe č. 1 (Hlásenie počtu poistených osôb, ďalej aj „hlásenie“) tejto poistnej zmluvy, s výnimkou nepoistiteľných osôb podľa čl. 11 VPP ÚP."),""))))</f>
        <v>Žiaci a zamestnanci školy uvedení v prílohe č. 1 (Hlásenie počtu poistených osôb, ďalej aj „hlásenie“) tejto poistnej zmluvy, s výnimkou nepoistiteľných osôb podľa čl. 11 VPP ÚP.</v>
      </c>
      <c r="O36" s="528"/>
      <c r="P36" s="528"/>
      <c r="Q36" s="528"/>
      <c r="R36" s="528"/>
      <c r="S36" s="528"/>
      <c r="T36" s="528"/>
      <c r="U36" s="528"/>
      <c r="V36" s="528"/>
      <c r="W36" s="528"/>
      <c r="X36" s="528"/>
      <c r="Y36" s="528"/>
      <c r="Z36" s="528"/>
      <c r="AA36" s="528"/>
      <c r="AB36" s="528"/>
      <c r="AC36" s="528"/>
      <c r="AD36" s="528"/>
      <c r="AE36" s="528"/>
      <c r="AF36" s="528"/>
      <c r="AG36" s="528"/>
      <c r="AH36" s="528"/>
      <c r="AI36" s="528"/>
      <c r="AJ36" s="528"/>
      <c r="AK36" s="528"/>
      <c r="AL36" s="528"/>
      <c r="AM36" s="528"/>
      <c r="AN36" s="528"/>
      <c r="AO36" s="528"/>
      <c r="AP36" s="528"/>
      <c r="AQ36" s="528"/>
      <c r="AR36" s="528"/>
      <c r="AS36" s="528"/>
      <c r="AT36" s="528"/>
      <c r="AU36" s="528"/>
      <c r="AV36" s="528"/>
      <c r="AW36" s="528"/>
      <c r="AX36" s="528"/>
      <c r="AY36" s="528"/>
      <c r="AZ36" s="171"/>
      <c r="BB36" s="501"/>
      <c r="BC36" s="501"/>
      <c r="BD36" s="501"/>
      <c r="BE36" s="501"/>
      <c r="BF36" s="501"/>
      <c r="BG36" s="501"/>
      <c r="BH36" s="501"/>
      <c r="BI36" s="501"/>
      <c r="BJ36" s="501"/>
      <c r="BK36" s="501"/>
      <c r="BL36" s="146"/>
      <c r="BM36" s="146"/>
      <c r="BN36" s="146"/>
    </row>
    <row r="37" spans="2:66" ht="138.6" hidden="1" customHeight="1">
      <c r="B37" s="255" t="s">
        <v>166</v>
      </c>
      <c r="C37" s="183"/>
      <c r="D37" s="183"/>
      <c r="E37" s="361"/>
      <c r="F37" s="361"/>
      <c r="G37" s="361"/>
      <c r="H37" s="183"/>
      <c r="I37" s="356"/>
      <c r="J37" s="356"/>
      <c r="K37" s="356"/>
      <c r="L37" s="356"/>
      <c r="M37" s="356"/>
      <c r="N37" s="528" t="str">
        <f>IF(doba="určitá","",IF(AND(doba="neurčitá",zamest=TRUE),CONCATENATE("Poistenými v druhom a ďalšom poistnom období sú žiaci a zamestnanci školy, ktorých poistník oznámi poisťovateľovi zaslaním aktualizovaného hlásenia. " &amp; "Poistník má každoročne povinnosť zaslať poisťovateľovi hlásenie, najneskôr do 1.10. príslušného kalendárneho roka, pričom toto hlásenie je platné pre aktuálne poistné obdobie. " &amp; "Takto nahlásené osoby sú poistené od 1.9. príslušného kalendárneho roka do 31.8. nasledujúceho kalendárneho roka." &amp; " Poistník do hlásenia zaradí maximálne taký počet osôb, ktorý vie vydokladovať internou evidenciou." &amp; " Ak sa v hlásení náchadzajú nepoistiteľné osoby podľa čl. 11 VPP ÚP, nepovažujú sa tieto za poistené." &amp; " Potvrdenie s vyúčtovaným poistným zašle poisťovateľ poistníkovi do 15 dní od obdržania hlásenia."),IF(AND(doba="neurčitá",zamest=FALSE),CONCATENATE("Poistenými v druhom a ďalšom poistnom období sú žiaci školy, ktorých poistník oznámi poisťovateľovi zaslaním aktualizovaného hlásenia." &amp; " Poistník má každoročne povinnosť zaslať poisťovateľovi hlásenie, najneskôr do 1.10. príslušného kalendárneho roka," &amp; " pričom toto hlásenie je platné pre aktuálne poistné obdobie. " &amp; "Takto nahlásené osoby sú poistené od 1.9. príslušného kalendárneho roka do 31.8. nasledujúceho kalendárneho roka." &amp; " Poistník do hlásenia zaradí maximálne taký počet osôb, ktorý vie vydokladovať internou evidenciou. Ak sa v hlásení nachádzajú nepoistiteľné osoby podľa čl. 11 VPP ÚP, nepovažujú sa tieto za poistené." &amp; " Potvrdenie s vyúčtovaným poistným zašle poisťovateľ poistníkovi do 15 dní od obdržania hlásenia."),"")))</f>
        <v/>
      </c>
      <c r="O37" s="528"/>
      <c r="P37" s="528"/>
      <c r="Q37" s="528"/>
      <c r="R37" s="528"/>
      <c r="S37" s="528"/>
      <c r="T37" s="528"/>
      <c r="U37" s="528"/>
      <c r="V37" s="528"/>
      <c r="W37" s="528"/>
      <c r="X37" s="528"/>
      <c r="Y37" s="528"/>
      <c r="Z37" s="528"/>
      <c r="AA37" s="528"/>
      <c r="AB37" s="528"/>
      <c r="AC37" s="528"/>
      <c r="AD37" s="528"/>
      <c r="AE37" s="528"/>
      <c r="AF37" s="528"/>
      <c r="AG37" s="528"/>
      <c r="AH37" s="528"/>
      <c r="AI37" s="528"/>
      <c r="AJ37" s="528"/>
      <c r="AK37" s="528"/>
      <c r="AL37" s="528"/>
      <c r="AM37" s="528"/>
      <c r="AN37" s="528"/>
      <c r="AO37" s="528"/>
      <c r="AP37" s="528"/>
      <c r="AQ37" s="528"/>
      <c r="AR37" s="528"/>
      <c r="AS37" s="528"/>
      <c r="AT37" s="528"/>
      <c r="AU37" s="528"/>
      <c r="AV37" s="528"/>
      <c r="AW37" s="528"/>
      <c r="AX37" s="528"/>
      <c r="AY37" s="528"/>
      <c r="AZ37" s="171"/>
      <c r="BB37" s="146"/>
      <c r="BC37" s="146"/>
      <c r="BD37" s="146"/>
      <c r="BE37" s="146"/>
      <c r="BF37" s="146"/>
      <c r="BG37" s="146"/>
      <c r="BH37" s="146"/>
      <c r="BI37" s="146"/>
      <c r="BJ37" s="146"/>
      <c r="BK37" s="146"/>
      <c r="BL37" s="146"/>
      <c r="BM37" s="146"/>
      <c r="BN37" s="146"/>
    </row>
    <row r="38" spans="2:66" ht="1.95" customHeight="1">
      <c r="C38" s="183"/>
      <c r="D38" s="183"/>
      <c r="E38" s="361"/>
      <c r="F38" s="361"/>
      <c r="G38" s="361"/>
      <c r="H38" s="183"/>
      <c r="I38" s="356"/>
      <c r="J38" s="356"/>
      <c r="K38" s="356"/>
      <c r="L38" s="356"/>
      <c r="M38" s="356"/>
      <c r="N38" s="355"/>
      <c r="O38" s="356"/>
      <c r="P38" s="183"/>
      <c r="Q38" s="183"/>
      <c r="R38" s="183"/>
      <c r="S38" s="183"/>
      <c r="T38" s="183"/>
      <c r="U38" s="183"/>
      <c r="V38" s="183"/>
      <c r="W38" s="183"/>
      <c r="X38" s="183"/>
      <c r="Y38" s="183"/>
      <c r="Z38" s="183"/>
      <c r="AA38" s="183"/>
      <c r="AB38" s="183"/>
      <c r="AC38" s="183"/>
      <c r="AD38" s="183"/>
      <c r="AE38" s="183"/>
      <c r="AF38" s="183"/>
      <c r="AG38" s="183"/>
      <c r="AH38" s="183"/>
      <c r="AI38" s="183"/>
      <c r="AJ38" s="183"/>
      <c r="AK38" s="183"/>
      <c r="AL38" s="183"/>
      <c r="AM38" s="183"/>
      <c r="AN38" s="183"/>
      <c r="AO38" s="183"/>
      <c r="AP38" s="183"/>
      <c r="AQ38" s="183"/>
      <c r="AR38" s="183"/>
      <c r="AS38" s="183"/>
      <c r="AT38" s="183"/>
      <c r="AU38" s="183"/>
      <c r="AV38" s="183"/>
      <c r="AW38" s="183"/>
      <c r="AX38" s="183"/>
      <c r="AY38" s="183"/>
      <c r="AZ38" s="171"/>
      <c r="BB38" s="146"/>
      <c r="BC38" s="146"/>
      <c r="BD38" s="146"/>
      <c r="BE38" s="146"/>
      <c r="BF38" s="146"/>
      <c r="BG38" s="146"/>
      <c r="BH38" s="146"/>
      <c r="BI38" s="146"/>
      <c r="BJ38" s="146"/>
      <c r="BK38" s="146"/>
      <c r="BL38" s="146"/>
      <c r="BM38" s="146"/>
      <c r="BN38" s="146"/>
    </row>
    <row r="39" spans="2:66" ht="15" customHeight="1">
      <c r="B39" s="255" t="s">
        <v>166</v>
      </c>
      <c r="C39" s="365"/>
      <c r="D39" s="552" t="s">
        <v>61</v>
      </c>
      <c r="E39" s="552"/>
      <c r="F39" s="552"/>
      <c r="G39" s="552"/>
      <c r="H39" s="552"/>
      <c r="I39" s="552"/>
      <c r="J39" s="552"/>
      <c r="K39" s="552"/>
      <c r="L39" s="552"/>
      <c r="M39" s="552"/>
      <c r="N39" s="527" t="s">
        <v>20</v>
      </c>
      <c r="O39" s="527"/>
      <c r="P39" s="527"/>
      <c r="Q39" s="527"/>
      <c r="R39" s="527"/>
      <c r="S39" s="527"/>
      <c r="T39" s="527"/>
      <c r="U39" s="527"/>
      <c r="V39" s="527"/>
      <c r="W39" s="527"/>
      <c r="X39" s="527"/>
      <c r="Y39" s="527"/>
      <c r="Z39" s="527"/>
      <c r="AA39" s="527"/>
      <c r="AB39" s="527"/>
      <c r="AC39" s="527"/>
      <c r="AD39" s="527"/>
      <c r="AE39" s="527"/>
      <c r="AF39" s="527"/>
      <c r="AG39" s="527"/>
      <c r="AH39" s="527"/>
      <c r="AI39" s="527"/>
      <c r="AJ39" s="527"/>
      <c r="AK39" s="527"/>
      <c r="AL39" s="527"/>
      <c r="AM39" s="527"/>
      <c r="AN39" s="527"/>
      <c r="AO39" s="527"/>
      <c r="AP39" s="527"/>
      <c r="AQ39" s="527"/>
      <c r="AR39" s="527"/>
      <c r="AS39" s="527"/>
      <c r="AT39" s="527"/>
      <c r="AU39" s="527"/>
      <c r="AV39" s="527"/>
      <c r="AW39" s="527"/>
      <c r="AX39" s="527"/>
      <c r="AY39" s="527"/>
      <c r="AZ39" s="171"/>
      <c r="BB39" s="501"/>
      <c r="BC39" s="501"/>
      <c r="BD39" s="501"/>
      <c r="BE39" s="501"/>
      <c r="BF39" s="501"/>
      <c r="BG39" s="501"/>
      <c r="BH39" s="501"/>
      <c r="BI39" s="501"/>
      <c r="BJ39" s="501"/>
      <c r="BK39" s="501"/>
      <c r="BL39" s="501"/>
      <c r="BM39" s="146"/>
      <c r="BN39" s="146"/>
    </row>
    <row r="40" spans="2:66" ht="16.2" customHeight="1">
      <c r="B40" s="255" t="s">
        <v>166</v>
      </c>
      <c r="C40" s="183"/>
      <c r="D40" s="183"/>
      <c r="E40" s="361"/>
      <c r="F40" s="361"/>
      <c r="G40" s="361"/>
      <c r="H40" s="183"/>
      <c r="I40" s="356"/>
      <c r="J40" s="356"/>
      <c r="K40" s="356"/>
      <c r="L40" s="356"/>
      <c r="M40" s="356"/>
      <c r="N40" s="181" t="s">
        <v>119</v>
      </c>
      <c r="O40" s="527" t="s">
        <v>120</v>
      </c>
      <c r="P40" s="527"/>
      <c r="Q40" s="527"/>
      <c r="R40" s="527"/>
      <c r="S40" s="527"/>
      <c r="T40" s="527"/>
      <c r="U40" s="527"/>
      <c r="V40" s="527"/>
      <c r="W40" s="527"/>
      <c r="X40" s="527"/>
      <c r="Y40" s="527"/>
      <c r="Z40" s="527"/>
      <c r="AA40" s="527"/>
      <c r="AB40" s="527"/>
      <c r="AC40" s="527"/>
      <c r="AD40" s="527"/>
      <c r="AE40" s="527"/>
      <c r="AF40" s="527"/>
      <c r="AG40" s="527"/>
      <c r="AH40" s="527"/>
      <c r="AI40" s="527"/>
      <c r="AJ40" s="527"/>
      <c r="AK40" s="527"/>
      <c r="AL40" s="527"/>
      <c r="AM40" s="527"/>
      <c r="AN40" s="527"/>
      <c r="AO40" s="527"/>
      <c r="AP40" s="527"/>
      <c r="AQ40" s="527"/>
      <c r="AR40" s="527"/>
      <c r="AS40" s="527"/>
      <c r="AT40" s="527"/>
      <c r="AU40" s="527"/>
      <c r="AV40" s="527"/>
      <c r="AW40" s="527"/>
      <c r="AX40" s="527"/>
      <c r="AY40" s="527"/>
      <c r="AZ40" s="171"/>
      <c r="BB40" s="501"/>
      <c r="BC40" s="501"/>
      <c r="BD40" s="501"/>
      <c r="BE40" s="501"/>
      <c r="BF40" s="501"/>
      <c r="BG40" s="501"/>
      <c r="BH40" s="501"/>
      <c r="BI40" s="501"/>
      <c r="BJ40" s="501"/>
      <c r="BK40" s="501"/>
      <c r="BL40" s="501"/>
      <c r="BM40" s="146"/>
      <c r="BN40" s="146"/>
    </row>
    <row r="41" spans="2:66" ht="28.2" customHeight="1">
      <c r="B41" s="255" t="s">
        <v>166</v>
      </c>
      <c r="C41" s="365"/>
      <c r="D41" s="365"/>
      <c r="E41" s="365"/>
      <c r="F41" s="365"/>
      <c r="G41" s="365"/>
      <c r="H41" s="181"/>
      <c r="I41" s="181"/>
      <c r="J41" s="181"/>
      <c r="K41" s="181"/>
      <c r="L41" s="181"/>
      <c r="M41" s="181"/>
      <c r="N41" s="181" t="s">
        <v>119</v>
      </c>
      <c r="O41" s="528" t="s">
        <v>121</v>
      </c>
      <c r="P41" s="528"/>
      <c r="Q41" s="528"/>
      <c r="R41" s="528"/>
      <c r="S41" s="528"/>
      <c r="T41" s="528"/>
      <c r="U41" s="528"/>
      <c r="V41" s="528"/>
      <c r="W41" s="528"/>
      <c r="X41" s="528"/>
      <c r="Y41" s="528"/>
      <c r="Z41" s="528"/>
      <c r="AA41" s="528"/>
      <c r="AB41" s="528"/>
      <c r="AC41" s="528"/>
      <c r="AD41" s="528"/>
      <c r="AE41" s="528"/>
      <c r="AF41" s="528"/>
      <c r="AG41" s="528"/>
      <c r="AH41" s="528"/>
      <c r="AI41" s="528"/>
      <c r="AJ41" s="528"/>
      <c r="AK41" s="528"/>
      <c r="AL41" s="528"/>
      <c r="AM41" s="528"/>
      <c r="AN41" s="528"/>
      <c r="AO41" s="528"/>
      <c r="AP41" s="528"/>
      <c r="AQ41" s="528"/>
      <c r="AR41" s="528"/>
      <c r="AS41" s="528"/>
      <c r="AT41" s="528"/>
      <c r="AU41" s="528"/>
      <c r="AV41" s="528"/>
      <c r="AW41" s="528"/>
      <c r="AX41" s="528"/>
      <c r="AY41" s="528"/>
      <c r="AZ41" s="171"/>
      <c r="BB41" s="501"/>
      <c r="BC41" s="501"/>
      <c r="BD41" s="501"/>
      <c r="BE41" s="501"/>
      <c r="BF41" s="501"/>
      <c r="BG41" s="501"/>
      <c r="BH41" s="501"/>
      <c r="BI41" s="501"/>
      <c r="BJ41" s="501"/>
      <c r="BK41" s="501"/>
      <c r="BL41" s="501"/>
      <c r="BM41" s="146"/>
      <c r="BN41" s="146"/>
    </row>
    <row r="42" spans="2:66" ht="28.2" customHeight="1">
      <c r="B42" s="255" t="s">
        <v>166</v>
      </c>
      <c r="C42" s="183"/>
      <c r="D42" s="183"/>
      <c r="E42" s="361"/>
      <c r="F42" s="361"/>
      <c r="G42" s="361"/>
      <c r="H42" s="361"/>
      <c r="I42" s="361"/>
      <c r="J42" s="361"/>
      <c r="K42" s="361"/>
      <c r="L42" s="361"/>
      <c r="M42" s="361"/>
      <c r="N42" s="181" t="s">
        <v>119</v>
      </c>
      <c r="O42" s="528" t="s">
        <v>122</v>
      </c>
      <c r="P42" s="528"/>
      <c r="Q42" s="528"/>
      <c r="R42" s="528"/>
      <c r="S42" s="528"/>
      <c r="T42" s="528"/>
      <c r="U42" s="528"/>
      <c r="V42" s="528"/>
      <c r="W42" s="528"/>
      <c r="X42" s="528"/>
      <c r="Y42" s="528"/>
      <c r="Z42" s="528"/>
      <c r="AA42" s="528"/>
      <c r="AB42" s="528"/>
      <c r="AC42" s="528"/>
      <c r="AD42" s="528"/>
      <c r="AE42" s="528"/>
      <c r="AF42" s="528"/>
      <c r="AG42" s="528"/>
      <c r="AH42" s="528"/>
      <c r="AI42" s="528"/>
      <c r="AJ42" s="528"/>
      <c r="AK42" s="528"/>
      <c r="AL42" s="528"/>
      <c r="AM42" s="528"/>
      <c r="AN42" s="528"/>
      <c r="AO42" s="528"/>
      <c r="AP42" s="528"/>
      <c r="AQ42" s="528"/>
      <c r="AR42" s="528"/>
      <c r="AS42" s="528"/>
      <c r="AT42" s="528"/>
      <c r="AU42" s="528"/>
      <c r="AV42" s="528"/>
      <c r="AW42" s="528"/>
      <c r="AX42" s="528"/>
      <c r="AY42" s="528"/>
      <c r="AZ42" s="171"/>
      <c r="BB42" s="501"/>
      <c r="BC42" s="501"/>
      <c r="BD42" s="501"/>
      <c r="BE42" s="501"/>
      <c r="BF42" s="501"/>
      <c r="BG42" s="501"/>
      <c r="BH42" s="501"/>
      <c r="BI42" s="501"/>
      <c r="BJ42" s="501"/>
      <c r="BK42" s="501"/>
      <c r="BL42" s="501"/>
      <c r="BM42" s="146"/>
      <c r="BN42" s="146"/>
    </row>
    <row r="43" spans="2:66" ht="28.2" customHeight="1">
      <c r="B43" s="255" t="s">
        <v>166</v>
      </c>
      <c r="C43" s="365"/>
      <c r="D43" s="365"/>
      <c r="E43" s="365"/>
      <c r="F43" s="365"/>
      <c r="G43" s="365"/>
      <c r="H43" s="365"/>
      <c r="I43" s="365"/>
      <c r="J43" s="365"/>
      <c r="K43" s="365"/>
      <c r="L43" s="365"/>
      <c r="M43" s="365"/>
      <c r="N43" s="181" t="s">
        <v>119</v>
      </c>
      <c r="O43" s="528" t="s">
        <v>123</v>
      </c>
      <c r="P43" s="528"/>
      <c r="Q43" s="528"/>
      <c r="R43" s="528"/>
      <c r="S43" s="528"/>
      <c r="T43" s="528"/>
      <c r="U43" s="528"/>
      <c r="V43" s="528"/>
      <c r="W43" s="528"/>
      <c r="X43" s="528"/>
      <c r="Y43" s="528"/>
      <c r="Z43" s="528"/>
      <c r="AA43" s="528"/>
      <c r="AB43" s="528"/>
      <c r="AC43" s="528"/>
      <c r="AD43" s="528"/>
      <c r="AE43" s="528"/>
      <c r="AF43" s="528"/>
      <c r="AG43" s="528"/>
      <c r="AH43" s="528"/>
      <c r="AI43" s="528"/>
      <c r="AJ43" s="528"/>
      <c r="AK43" s="528"/>
      <c r="AL43" s="528"/>
      <c r="AM43" s="528"/>
      <c r="AN43" s="528"/>
      <c r="AO43" s="528"/>
      <c r="AP43" s="528"/>
      <c r="AQ43" s="528"/>
      <c r="AR43" s="528"/>
      <c r="AS43" s="528"/>
      <c r="AT43" s="528"/>
      <c r="AU43" s="528"/>
      <c r="AV43" s="528"/>
      <c r="AW43" s="528"/>
      <c r="AX43" s="528"/>
      <c r="AY43" s="528"/>
      <c r="AZ43" s="171"/>
      <c r="BB43" s="501"/>
      <c r="BC43" s="501"/>
      <c r="BD43" s="501"/>
      <c r="BE43" s="501"/>
      <c r="BF43" s="501"/>
      <c r="BG43" s="501"/>
      <c r="BH43" s="501"/>
      <c r="BI43" s="501"/>
      <c r="BJ43" s="501"/>
      <c r="BK43" s="501"/>
      <c r="BL43" s="501"/>
      <c r="BM43" s="146"/>
      <c r="BN43" s="146"/>
    </row>
    <row r="44" spans="2:66" ht="13.8">
      <c r="C44" s="183"/>
      <c r="D44" s="183"/>
      <c r="E44" s="361"/>
      <c r="F44" s="361"/>
      <c r="G44" s="361"/>
      <c r="H44" s="361"/>
      <c r="I44" s="361"/>
      <c r="J44" s="361"/>
      <c r="K44" s="361"/>
      <c r="L44" s="361"/>
      <c r="M44" s="361"/>
      <c r="N44" s="517" t="s">
        <v>124</v>
      </c>
      <c r="O44" s="517"/>
      <c r="P44" s="517"/>
      <c r="Q44" s="517"/>
      <c r="R44" s="517"/>
      <c r="S44" s="517"/>
      <c r="T44" s="517"/>
      <c r="U44" s="517"/>
      <c r="V44" s="517"/>
      <c r="W44" s="517"/>
      <c r="X44" s="517"/>
      <c r="Y44" s="517"/>
      <c r="Z44" s="517"/>
      <c r="AA44" s="517"/>
      <c r="AB44" s="517"/>
      <c r="AC44" s="517"/>
      <c r="AD44" s="517"/>
      <c r="AE44" s="517"/>
      <c r="AF44" s="517"/>
      <c r="AG44" s="517"/>
      <c r="AH44" s="517"/>
      <c r="AI44" s="517"/>
      <c r="AJ44" s="517"/>
      <c r="AK44" s="517"/>
      <c r="AL44" s="517"/>
      <c r="AM44" s="517"/>
      <c r="AN44" s="517"/>
      <c r="AO44" s="517"/>
      <c r="AP44" s="517"/>
      <c r="AQ44" s="517"/>
      <c r="AR44" s="517"/>
      <c r="AS44" s="517"/>
      <c r="AT44" s="517"/>
      <c r="AU44" s="517"/>
      <c r="AV44" s="517"/>
      <c r="AW44" s="517"/>
      <c r="AX44" s="517"/>
      <c r="AY44" s="517"/>
      <c r="AZ44" s="171"/>
      <c r="BB44" s="146"/>
      <c r="BC44" s="146"/>
      <c r="BD44" s="146"/>
      <c r="BE44" s="146"/>
      <c r="BF44" s="146"/>
      <c r="BG44" s="146"/>
      <c r="BH44" s="146"/>
      <c r="BI44" s="146"/>
      <c r="BJ44" s="146"/>
      <c r="BK44" s="146"/>
      <c r="BL44" s="146"/>
      <c r="BM44" s="146"/>
      <c r="BN44" s="146"/>
    </row>
    <row r="45" spans="2:66" ht="12.6" customHeight="1">
      <c r="B45" s="255" t="s">
        <v>166</v>
      </c>
      <c r="C45" s="183"/>
      <c r="D45" s="183"/>
      <c r="E45" s="183"/>
      <c r="F45" s="183"/>
      <c r="G45" s="183"/>
      <c r="H45" s="183"/>
      <c r="I45" s="183"/>
      <c r="J45" s="183"/>
      <c r="K45" s="183"/>
      <c r="L45" s="183"/>
      <c r="M45" s="183"/>
      <c r="N45" s="528" t="str">
        <f>IF(vstupne_udaje!D6="áno","Súčasťou poistnej zmluvy je aj príloha č. 1 (Hlásenie počtu poistených osôb).","Súčasťou poistnej zmluvy je aj príloha č. 1 (Hlásenie počtu poistených osôb) a príloha č. 2 (Zmena v počte poistených osôb).")</f>
        <v>Súčasťou poistnej zmluvy je aj príloha č. 1 (Hlásenie počtu poistených osôb) a príloha č. 2 (Zmena v počte poistených osôb).</v>
      </c>
      <c r="O45" s="528"/>
      <c r="P45" s="528"/>
      <c r="Q45" s="528"/>
      <c r="R45" s="528"/>
      <c r="S45" s="528"/>
      <c r="T45" s="528"/>
      <c r="U45" s="528"/>
      <c r="V45" s="528"/>
      <c r="W45" s="528"/>
      <c r="X45" s="528"/>
      <c r="Y45" s="528"/>
      <c r="Z45" s="528"/>
      <c r="AA45" s="528"/>
      <c r="AB45" s="528"/>
      <c r="AC45" s="528"/>
      <c r="AD45" s="528"/>
      <c r="AE45" s="528"/>
      <c r="AF45" s="528"/>
      <c r="AG45" s="528"/>
      <c r="AH45" s="528"/>
      <c r="AI45" s="528"/>
      <c r="AJ45" s="528"/>
      <c r="AK45" s="528"/>
      <c r="AL45" s="528"/>
      <c r="AM45" s="528"/>
      <c r="AN45" s="528"/>
      <c r="AO45" s="528"/>
      <c r="AP45" s="528"/>
      <c r="AQ45" s="528"/>
      <c r="AR45" s="528"/>
      <c r="AS45" s="528"/>
      <c r="AT45" s="528"/>
      <c r="AU45" s="528"/>
      <c r="AV45" s="528"/>
      <c r="AW45" s="528"/>
      <c r="AX45" s="528"/>
      <c r="AY45" s="528"/>
      <c r="AZ45" s="171"/>
      <c r="BB45" s="186"/>
      <c r="BC45" s="146"/>
      <c r="BD45" s="146"/>
      <c r="BE45" s="146"/>
      <c r="BF45" s="146"/>
      <c r="BG45" s="146"/>
      <c r="BH45" s="146"/>
      <c r="BI45" s="146"/>
      <c r="BJ45" s="146"/>
      <c r="BK45" s="146"/>
      <c r="BL45" s="146"/>
      <c r="BM45" s="146"/>
      <c r="BN45" s="146"/>
    </row>
    <row r="46" spans="2:66" ht="4.95" customHeight="1">
      <c r="B46" s="255" t="s">
        <v>166</v>
      </c>
      <c r="C46" s="183"/>
      <c r="D46" s="183"/>
      <c r="E46" s="183"/>
      <c r="F46" s="183"/>
      <c r="G46" s="183"/>
      <c r="H46" s="183"/>
      <c r="I46" s="183"/>
      <c r="J46" s="183"/>
      <c r="K46" s="183"/>
      <c r="L46" s="183"/>
      <c r="M46" s="183"/>
      <c r="N46" s="183"/>
      <c r="O46" s="183"/>
      <c r="P46" s="183"/>
      <c r="Q46" s="183"/>
      <c r="R46" s="183"/>
      <c r="S46" s="183"/>
      <c r="T46" s="183"/>
      <c r="U46" s="183"/>
      <c r="V46" s="183"/>
      <c r="W46" s="183"/>
      <c r="X46" s="183"/>
      <c r="Y46" s="183"/>
      <c r="Z46" s="183"/>
      <c r="AA46" s="183"/>
      <c r="AB46" s="183"/>
      <c r="AC46" s="183"/>
      <c r="AD46" s="183"/>
      <c r="AE46" s="183"/>
      <c r="AF46" s="183"/>
      <c r="AG46" s="183"/>
      <c r="AH46" s="183"/>
      <c r="AI46" s="183"/>
      <c r="AJ46" s="183"/>
      <c r="AK46" s="183"/>
      <c r="AL46" s="183"/>
      <c r="AM46" s="183"/>
      <c r="AN46" s="183"/>
      <c r="AO46" s="183"/>
      <c r="AP46" s="183"/>
      <c r="AQ46" s="183"/>
      <c r="AR46" s="183"/>
      <c r="AS46" s="183"/>
      <c r="AT46" s="183"/>
      <c r="AU46" s="183"/>
      <c r="AV46" s="183"/>
      <c r="AW46" s="183"/>
      <c r="AX46" s="183"/>
      <c r="AY46" s="183"/>
      <c r="AZ46" s="171"/>
      <c r="BB46" s="146"/>
      <c r="BC46" s="146"/>
      <c r="BD46" s="146"/>
      <c r="BE46" s="146"/>
      <c r="BF46" s="146"/>
      <c r="BG46" s="146"/>
      <c r="BH46" s="146"/>
      <c r="BI46" s="146"/>
      <c r="BJ46" s="146"/>
      <c r="BK46" s="146"/>
      <c r="BL46" s="146"/>
      <c r="BM46" s="146"/>
      <c r="BN46" s="146"/>
    </row>
    <row r="47" spans="2:66" ht="15.6" customHeight="1">
      <c r="C47" s="183"/>
      <c r="D47" s="366" t="s">
        <v>126</v>
      </c>
      <c r="E47" s="183"/>
      <c r="F47" s="183"/>
      <c r="G47" s="183"/>
      <c r="H47" s="183"/>
      <c r="I47" s="183"/>
      <c r="J47" s="183"/>
      <c r="K47" s="183"/>
      <c r="L47" s="183"/>
      <c r="M47" s="183"/>
      <c r="N47" s="183"/>
      <c r="O47" s="183"/>
      <c r="P47" s="183"/>
      <c r="Q47" s="183"/>
      <c r="R47" s="183"/>
      <c r="S47" s="183"/>
      <c r="T47" s="183"/>
      <c r="U47" s="183"/>
      <c r="V47" s="183"/>
      <c r="W47" s="183"/>
      <c r="X47" s="183"/>
      <c r="Y47" s="183"/>
      <c r="Z47" s="183"/>
      <c r="AA47" s="183"/>
      <c r="AB47" s="183"/>
      <c r="AC47" s="183"/>
      <c r="AD47" s="183"/>
      <c r="AE47" s="183"/>
      <c r="AF47" s="183"/>
      <c r="AG47" s="183"/>
      <c r="AH47" s="183"/>
      <c r="AI47" s="183"/>
      <c r="AJ47" s="183"/>
      <c r="AK47" s="183"/>
      <c r="AL47" s="183"/>
      <c r="AM47" s="183"/>
      <c r="AN47" s="183"/>
      <c r="AO47" s="183"/>
      <c r="AP47" s="183"/>
      <c r="AQ47" s="183"/>
      <c r="AR47" s="183"/>
      <c r="AS47" s="183"/>
      <c r="AT47" s="183"/>
      <c r="AU47" s="183"/>
      <c r="AV47" s="183"/>
      <c r="AW47" s="183"/>
      <c r="AX47" s="183"/>
      <c r="AY47" s="183"/>
      <c r="AZ47" s="171"/>
      <c r="BB47" s="146"/>
      <c r="BC47" s="146"/>
      <c r="BD47" s="146"/>
      <c r="BE47" s="146"/>
      <c r="BF47" s="146"/>
      <c r="BG47" s="146"/>
      <c r="BH47" s="146"/>
      <c r="BI47" s="146"/>
      <c r="BJ47" s="146"/>
      <c r="BK47" s="146"/>
      <c r="BL47" s="146"/>
      <c r="BM47" s="146"/>
      <c r="BN47" s="146"/>
    </row>
    <row r="48" spans="2:66" ht="38.25" customHeight="1">
      <c r="C48" s="176"/>
      <c r="D48" s="536" t="s">
        <v>21</v>
      </c>
      <c r="E48" s="537"/>
      <c r="F48" s="537"/>
      <c r="G48" s="537"/>
      <c r="H48" s="537"/>
      <c r="I48" s="537"/>
      <c r="J48" s="362"/>
      <c r="K48" s="538" t="s">
        <v>22</v>
      </c>
      <c r="L48" s="539"/>
      <c r="M48" s="539"/>
      <c r="N48" s="539"/>
      <c r="O48" s="539"/>
      <c r="P48" s="539"/>
      <c r="Q48" s="539"/>
      <c r="R48" s="539"/>
      <c r="S48" s="539"/>
      <c r="T48" s="539"/>
      <c r="U48" s="539"/>
      <c r="V48" s="539"/>
      <c r="W48" s="539"/>
      <c r="X48" s="539"/>
      <c r="Y48" s="539"/>
      <c r="Z48" s="539"/>
      <c r="AA48" s="539"/>
      <c r="AB48" s="539"/>
      <c r="AC48" s="539"/>
      <c r="AD48" s="539"/>
      <c r="AE48" s="539"/>
      <c r="AF48" s="539"/>
      <c r="AG48" s="540"/>
      <c r="AH48" s="539" t="s">
        <v>7</v>
      </c>
      <c r="AI48" s="539"/>
      <c r="AJ48" s="539"/>
      <c r="AK48" s="539"/>
      <c r="AL48" s="539"/>
      <c r="AM48" s="539"/>
      <c r="AN48" s="539"/>
      <c r="AO48" s="539"/>
      <c r="AP48" s="540"/>
      <c r="AQ48" s="537" t="s">
        <v>279</v>
      </c>
      <c r="AR48" s="537"/>
      <c r="AS48" s="537"/>
      <c r="AT48" s="537"/>
      <c r="AU48" s="537"/>
      <c r="AV48" s="537"/>
      <c r="AW48" s="537"/>
      <c r="AX48" s="537"/>
      <c r="AY48" s="541"/>
      <c r="AZ48" s="171"/>
      <c r="BB48" s="146"/>
      <c r="BC48" s="146"/>
      <c r="BD48" s="146"/>
      <c r="BE48" s="146"/>
      <c r="BF48" s="146"/>
      <c r="BG48" s="146"/>
      <c r="BH48" s="146"/>
      <c r="BI48" s="146"/>
      <c r="BJ48" s="146"/>
      <c r="BK48" s="146"/>
      <c r="BL48" s="146"/>
      <c r="BM48" s="146"/>
      <c r="BN48" s="146"/>
    </row>
    <row r="49" spans="2:66" ht="16.350000000000001" customHeight="1">
      <c r="C49" s="176"/>
      <c r="D49" s="530" t="s">
        <v>23</v>
      </c>
      <c r="E49" s="531"/>
      <c r="F49" s="531"/>
      <c r="G49" s="531"/>
      <c r="H49" s="531"/>
      <c r="I49" s="531"/>
      <c r="J49" s="276"/>
      <c r="K49" s="508" t="s">
        <v>24</v>
      </c>
      <c r="L49" s="509"/>
      <c r="M49" s="509"/>
      <c r="N49" s="509"/>
      <c r="O49" s="509"/>
      <c r="P49" s="509"/>
      <c r="Q49" s="509"/>
      <c r="R49" s="509"/>
      <c r="S49" s="509"/>
      <c r="T49" s="509"/>
      <c r="U49" s="509"/>
      <c r="V49" s="509"/>
      <c r="W49" s="509"/>
      <c r="X49" s="509"/>
      <c r="Y49" s="509"/>
      <c r="Z49" s="509"/>
      <c r="AA49" s="509"/>
      <c r="AB49" s="509"/>
      <c r="AC49" s="509"/>
      <c r="AD49" s="509"/>
      <c r="AE49" s="509"/>
      <c r="AF49" s="509"/>
      <c r="AG49" s="510"/>
      <c r="AH49" s="532" t="str">
        <f ca="1">IF(AND(test1="O.K.",test2="O.K."),su,"?")</f>
        <v>?</v>
      </c>
      <c r="AI49" s="532"/>
      <c r="AJ49" s="532"/>
      <c r="AK49" s="532"/>
      <c r="AL49" s="532"/>
      <c r="AM49" s="532"/>
      <c r="AN49" s="532"/>
      <c r="AO49" s="532"/>
      <c r="AP49" s="533"/>
      <c r="AQ49" s="534" t="str">
        <f ca="1">IF(AND(test1="O.K.",test2="O.K."),Ponuka!F16,"?")</f>
        <v>?</v>
      </c>
      <c r="AR49" s="534"/>
      <c r="AS49" s="534"/>
      <c r="AT49" s="534"/>
      <c r="AU49" s="534"/>
      <c r="AV49" s="534"/>
      <c r="AW49" s="534"/>
      <c r="AX49" s="534"/>
      <c r="AY49" s="535"/>
      <c r="AZ49" s="171"/>
      <c r="BB49" s="146"/>
      <c r="BC49" s="146"/>
      <c r="BD49" s="146"/>
      <c r="BE49" s="146"/>
      <c r="BF49" s="146"/>
      <c r="BG49" s="146"/>
      <c r="BH49" s="146"/>
      <c r="BI49" s="146"/>
      <c r="BJ49" s="146"/>
      <c r="BK49" s="146"/>
      <c r="BL49" s="146"/>
      <c r="BM49" s="146"/>
      <c r="BN49" s="146"/>
    </row>
    <row r="50" spans="2:66" ht="16.350000000000001" customHeight="1">
      <c r="B50" s="255" t="s">
        <v>166</v>
      </c>
      <c r="C50" s="176"/>
      <c r="D50" s="530" t="s">
        <v>23</v>
      </c>
      <c r="E50" s="531"/>
      <c r="F50" s="531"/>
      <c r="G50" s="531"/>
      <c r="H50" s="531"/>
      <c r="I50" s="531"/>
      <c r="J50" s="276"/>
      <c r="K50" s="508" t="s">
        <v>25</v>
      </c>
      <c r="L50" s="509"/>
      <c r="M50" s="509"/>
      <c r="N50" s="509"/>
      <c r="O50" s="509"/>
      <c r="P50" s="509"/>
      <c r="Q50" s="509"/>
      <c r="R50" s="509"/>
      <c r="S50" s="509"/>
      <c r="T50" s="509"/>
      <c r="U50" s="509"/>
      <c r="V50" s="509"/>
      <c r="W50" s="509"/>
      <c r="X50" s="509"/>
      <c r="Y50" s="509"/>
      <c r="Z50" s="509"/>
      <c r="AA50" s="509"/>
      <c r="AB50" s="509"/>
      <c r="AC50" s="509"/>
      <c r="AD50" s="509"/>
      <c r="AE50" s="509"/>
      <c r="AF50" s="509"/>
      <c r="AG50" s="510"/>
      <c r="AH50" s="532" t="str">
        <f ca="1">IF(AND(test1="O.K.",test2="O.K."),tnu,"?")</f>
        <v>?</v>
      </c>
      <c r="AI50" s="532"/>
      <c r="AJ50" s="532"/>
      <c r="AK50" s="532"/>
      <c r="AL50" s="532"/>
      <c r="AM50" s="532"/>
      <c r="AN50" s="532"/>
      <c r="AO50" s="532"/>
      <c r="AP50" s="533"/>
      <c r="AQ50" s="534" t="str">
        <f ca="1">IF(AND(test1="O.K.",test2="O.K."),Ponuka!F17,"?")</f>
        <v>?</v>
      </c>
      <c r="AR50" s="534"/>
      <c r="AS50" s="534"/>
      <c r="AT50" s="534"/>
      <c r="AU50" s="534"/>
      <c r="AV50" s="534"/>
      <c r="AW50" s="534"/>
      <c r="AX50" s="534"/>
      <c r="AY50" s="535"/>
      <c r="AZ50" s="171"/>
      <c r="BB50" s="146"/>
      <c r="BC50" s="146"/>
      <c r="BD50" s="146"/>
      <c r="BE50" s="146"/>
      <c r="BF50" s="146"/>
      <c r="BG50" s="146"/>
      <c r="BH50" s="146"/>
      <c r="BI50" s="146"/>
      <c r="BJ50" s="146"/>
      <c r="BK50" s="146"/>
      <c r="BL50" s="146"/>
      <c r="BM50" s="146"/>
      <c r="BN50" s="146"/>
    </row>
    <row r="51" spans="2:66" ht="14.4" customHeight="1">
      <c r="B51" s="255" t="s">
        <v>166</v>
      </c>
      <c r="C51" s="176"/>
      <c r="D51" s="530" t="s">
        <v>23</v>
      </c>
      <c r="E51" s="531"/>
      <c r="F51" s="531"/>
      <c r="G51" s="531"/>
      <c r="H51" s="531"/>
      <c r="I51" s="531"/>
      <c r="J51" s="276"/>
      <c r="K51" s="508" t="str">
        <f>IF(uod&gt;0,"Úrazové odškodnenie detí",IF(dd_cnl&gt;0,"Denná dávka za čas nevyhnutného liečenia",""))</f>
        <v>Úrazové odškodnenie detí</v>
      </c>
      <c r="L51" s="566"/>
      <c r="M51" s="566"/>
      <c r="N51" s="566"/>
      <c r="O51" s="566"/>
      <c r="P51" s="566"/>
      <c r="Q51" s="566"/>
      <c r="R51" s="566"/>
      <c r="S51" s="566"/>
      <c r="T51" s="566"/>
      <c r="U51" s="566"/>
      <c r="V51" s="566"/>
      <c r="W51" s="566"/>
      <c r="X51" s="566"/>
      <c r="Y51" s="566"/>
      <c r="Z51" s="566"/>
      <c r="AA51" s="566"/>
      <c r="AB51" s="566"/>
      <c r="AC51" s="566"/>
      <c r="AD51" s="566"/>
      <c r="AE51" s="566"/>
      <c r="AF51" s="566"/>
      <c r="AG51" s="567"/>
      <c r="AH51" s="532" t="str">
        <f ca="1">IF(AND(test1="O.K.",test2="O.K."),IF(uod&gt;0,uod,IF(dd_cnl&gt;0,dd_cnl,"")),"?")</f>
        <v>?</v>
      </c>
      <c r="AI51" s="532"/>
      <c r="AJ51" s="532"/>
      <c r="AK51" s="532"/>
      <c r="AL51" s="532"/>
      <c r="AM51" s="532"/>
      <c r="AN51" s="532"/>
      <c r="AO51" s="532"/>
      <c r="AP51" s="533"/>
      <c r="AQ51" s="534" t="str">
        <f ca="1">IF(AND(test1="O.K.",test2="O.K."),IF(uod&gt;0,Ponuka!F18,IF(dd_cnl&gt;0,Ponuka!F19,"")),"?")</f>
        <v>?</v>
      </c>
      <c r="AR51" s="534"/>
      <c r="AS51" s="534"/>
      <c r="AT51" s="534"/>
      <c r="AU51" s="534"/>
      <c r="AV51" s="534"/>
      <c r="AW51" s="534"/>
      <c r="AX51" s="534"/>
      <c r="AY51" s="535"/>
      <c r="AZ51" s="171"/>
      <c r="BB51" s="146"/>
      <c r="BC51" s="146"/>
      <c r="BD51" s="146"/>
      <c r="BE51" s="146"/>
      <c r="BF51" s="146"/>
      <c r="BG51" s="146"/>
      <c r="BH51" s="146"/>
      <c r="BI51" s="146"/>
      <c r="BJ51" s="146"/>
      <c r="BK51" s="146"/>
      <c r="BL51" s="146"/>
      <c r="BM51" s="146"/>
      <c r="BN51" s="146"/>
    </row>
    <row r="52" spans="2:66" ht="14.4" customHeight="1">
      <c r="C52" s="176"/>
      <c r="D52" s="530" t="s">
        <v>23</v>
      </c>
      <c r="E52" s="531"/>
      <c r="F52" s="531"/>
      <c r="G52" s="531"/>
      <c r="H52" s="531"/>
      <c r="I52" s="531"/>
      <c r="J52" s="429"/>
      <c r="K52" s="575" t="s">
        <v>323</v>
      </c>
      <c r="L52" s="576"/>
      <c r="M52" s="576"/>
      <c r="N52" s="576"/>
      <c r="O52" s="576"/>
      <c r="P52" s="576"/>
      <c r="Q52" s="576"/>
      <c r="R52" s="576"/>
      <c r="S52" s="576"/>
      <c r="T52" s="576"/>
      <c r="U52" s="576"/>
      <c r="V52" s="576"/>
      <c r="W52" s="576"/>
      <c r="X52" s="576"/>
      <c r="Y52" s="576"/>
      <c r="Z52" s="576"/>
      <c r="AA52" s="576"/>
      <c r="AB52" s="576"/>
      <c r="AC52" s="576"/>
      <c r="AD52" s="576"/>
      <c r="AE52" s="576"/>
      <c r="AF52" s="576"/>
      <c r="AG52" s="430"/>
      <c r="AH52" s="532" t="str">
        <f ca="1">IF(AND(test1="O.K.",test2="O.K."),zp,"?")</f>
        <v>?</v>
      </c>
      <c r="AI52" s="532"/>
      <c r="AJ52" s="532"/>
      <c r="AK52" s="532"/>
      <c r="AL52" s="532"/>
      <c r="AM52" s="532"/>
      <c r="AN52" s="532"/>
      <c r="AO52" s="532"/>
      <c r="AP52" s="533"/>
      <c r="AQ52" s="534" t="str">
        <f ca="1">IF(AND(test1="O.K.",test2="O.K."),Ponuka!F20,"?")</f>
        <v>?</v>
      </c>
      <c r="AR52" s="534"/>
      <c r="AS52" s="534"/>
      <c r="AT52" s="534"/>
      <c r="AU52" s="534"/>
      <c r="AV52" s="534"/>
      <c r="AW52" s="534"/>
      <c r="AX52" s="534"/>
      <c r="AY52" s="535"/>
      <c r="AZ52" s="171"/>
      <c r="BB52" s="146"/>
      <c r="BC52" s="146"/>
      <c r="BD52" s="146"/>
      <c r="BE52" s="146"/>
      <c r="BF52" s="146"/>
      <c r="BG52" s="146"/>
      <c r="BH52" s="146"/>
      <c r="BI52" s="146"/>
      <c r="BJ52" s="146"/>
      <c r="BK52" s="146"/>
      <c r="BL52" s="146"/>
      <c r="BM52" s="146"/>
      <c r="BN52" s="146"/>
    </row>
    <row r="53" spans="2:66" ht="14.4" customHeight="1">
      <c r="B53" s="255" t="s">
        <v>166</v>
      </c>
      <c r="C53" s="176"/>
      <c r="D53" s="530" t="s">
        <v>31</v>
      </c>
      <c r="E53" s="531"/>
      <c r="F53" s="531"/>
      <c r="G53" s="531"/>
      <c r="H53" s="531"/>
      <c r="I53" s="531"/>
      <c r="J53" s="276"/>
      <c r="K53" s="508" t="s">
        <v>6</v>
      </c>
      <c r="L53" s="509"/>
      <c r="M53" s="509"/>
      <c r="N53" s="509"/>
      <c r="O53" s="509"/>
      <c r="P53" s="509"/>
      <c r="Q53" s="509"/>
      <c r="R53" s="509"/>
      <c r="S53" s="509"/>
      <c r="T53" s="509"/>
      <c r="U53" s="509"/>
      <c r="V53" s="509"/>
      <c r="W53" s="509"/>
      <c r="X53" s="509"/>
      <c r="Y53" s="509"/>
      <c r="Z53" s="509"/>
      <c r="AA53" s="509"/>
      <c r="AB53" s="509"/>
      <c r="AC53" s="509"/>
      <c r="AD53" s="509"/>
      <c r="AE53" s="509"/>
      <c r="AF53" s="509"/>
      <c r="AG53" s="510"/>
      <c r="AH53" s="532" t="str">
        <f ca="1">IF(AND(test1="O.K.",test2="O.K."),odcud,"?")</f>
        <v>?</v>
      </c>
      <c r="AI53" s="532"/>
      <c r="AJ53" s="532"/>
      <c r="AK53" s="532"/>
      <c r="AL53" s="532"/>
      <c r="AM53" s="532"/>
      <c r="AN53" s="532"/>
      <c r="AO53" s="532"/>
      <c r="AP53" s="533"/>
      <c r="AQ53" s="534" t="str">
        <f ca="1">IF(AND(test1="O.K.",test2="O.K."),Ponuka!F21,"?")</f>
        <v>?</v>
      </c>
      <c r="AR53" s="534"/>
      <c r="AS53" s="534"/>
      <c r="AT53" s="534"/>
      <c r="AU53" s="534"/>
      <c r="AV53" s="534"/>
      <c r="AW53" s="534"/>
      <c r="AX53" s="534"/>
      <c r="AY53" s="535"/>
      <c r="AZ53" s="171"/>
      <c r="BB53" s="146"/>
      <c r="BC53" s="146"/>
      <c r="BD53" s="146"/>
      <c r="BE53" s="146"/>
      <c r="BF53" s="146"/>
      <c r="BG53" s="146"/>
      <c r="BH53" s="146"/>
      <c r="BI53" s="146"/>
      <c r="BJ53" s="146"/>
      <c r="BK53" s="146"/>
      <c r="BL53" s="146"/>
      <c r="BM53" s="146"/>
      <c r="BN53" s="146"/>
    </row>
    <row r="54" spans="2:66" ht="39.6" customHeight="1">
      <c r="B54" s="255" t="s">
        <v>166</v>
      </c>
      <c r="C54" s="176"/>
      <c r="D54" s="530" t="str">
        <f>IF(AND(odcud&gt;0,zodpov&gt;0),"c)",IF(AND(zodpov&gt;0,odcud&lt;200),"b)",""))</f>
        <v>c)</v>
      </c>
      <c r="E54" s="531"/>
      <c r="F54" s="531"/>
      <c r="G54" s="531"/>
      <c r="H54" s="531"/>
      <c r="I54" s="531"/>
      <c r="J54" s="276"/>
      <c r="K54" s="508" t="s">
        <v>289</v>
      </c>
      <c r="L54" s="509"/>
      <c r="M54" s="509"/>
      <c r="N54" s="509"/>
      <c r="O54" s="509"/>
      <c r="P54" s="509"/>
      <c r="Q54" s="509"/>
      <c r="R54" s="509"/>
      <c r="S54" s="509"/>
      <c r="T54" s="509"/>
      <c r="U54" s="509"/>
      <c r="V54" s="509"/>
      <c r="W54" s="509"/>
      <c r="X54" s="509"/>
      <c r="Y54" s="509"/>
      <c r="Z54" s="509"/>
      <c r="AA54" s="509"/>
      <c r="AB54" s="509"/>
      <c r="AC54" s="509"/>
      <c r="AD54" s="509"/>
      <c r="AE54" s="509"/>
      <c r="AF54" s="509"/>
      <c r="AG54" s="510"/>
      <c r="AH54" s="542" t="str">
        <f ca="1">IF(AND(test1="O.K.",test2="O.K."),zodpov,"?")</f>
        <v>?</v>
      </c>
      <c r="AI54" s="532"/>
      <c r="AJ54" s="532"/>
      <c r="AK54" s="532"/>
      <c r="AL54" s="532"/>
      <c r="AM54" s="532"/>
      <c r="AN54" s="532"/>
      <c r="AO54" s="532"/>
      <c r="AP54" s="533"/>
      <c r="AQ54" s="534" t="str">
        <f ca="1">IF(AND(test1="O.K.",test2="O.K."),Ponuka!F22,"?")</f>
        <v>?</v>
      </c>
      <c r="AR54" s="534"/>
      <c r="AS54" s="534"/>
      <c r="AT54" s="534"/>
      <c r="AU54" s="534"/>
      <c r="AV54" s="534"/>
      <c r="AW54" s="534"/>
      <c r="AX54" s="534"/>
      <c r="AY54" s="535"/>
      <c r="AZ54" s="171"/>
      <c r="BB54" s="501"/>
      <c r="BC54" s="501"/>
      <c r="BD54" s="501"/>
      <c r="BE54" s="501"/>
      <c r="BF54" s="501"/>
      <c r="BG54" s="501"/>
      <c r="BH54" s="501"/>
      <c r="BI54" s="501"/>
      <c r="BJ54" s="501"/>
      <c r="BK54" s="501"/>
      <c r="BL54" s="146"/>
      <c r="BM54" s="146"/>
      <c r="BN54" s="146"/>
    </row>
    <row r="55" spans="2:66" ht="19.5" customHeight="1">
      <c r="B55" s="255" t="s">
        <v>166</v>
      </c>
      <c r="C55" s="176"/>
      <c r="D55" s="573" t="str">
        <f>IF(doba="určitá","Poistné pre žiaka za dobu trvania poistenia spolu",IF(doba="neurčitá","Poistné pre žiaka na školský rok (od 1.9. príslušného kalendárneho roka do 31.8. nasledujúceho kalendárneho roka) spolu",""))</f>
        <v>Poistné pre žiaka za dobu trvania poistenia spolu</v>
      </c>
      <c r="E55" s="574"/>
      <c r="F55" s="574"/>
      <c r="G55" s="574"/>
      <c r="H55" s="574"/>
      <c r="I55" s="574"/>
      <c r="J55" s="574"/>
      <c r="K55" s="574"/>
      <c r="L55" s="574"/>
      <c r="M55" s="574"/>
      <c r="N55" s="574"/>
      <c r="O55" s="574"/>
      <c r="P55" s="574"/>
      <c r="Q55" s="574"/>
      <c r="R55" s="574"/>
      <c r="S55" s="574"/>
      <c r="T55" s="574"/>
      <c r="U55" s="574"/>
      <c r="V55" s="574"/>
      <c r="W55" s="574"/>
      <c r="X55" s="574"/>
      <c r="Y55" s="574"/>
      <c r="Z55" s="574"/>
      <c r="AA55" s="574"/>
      <c r="AB55" s="574"/>
      <c r="AC55" s="574"/>
      <c r="AD55" s="574"/>
      <c r="AE55" s="574"/>
      <c r="AF55" s="574"/>
      <c r="AG55" s="574"/>
      <c r="AH55" s="574"/>
      <c r="AI55" s="574"/>
      <c r="AJ55" s="574"/>
      <c r="AK55" s="574"/>
      <c r="AL55" s="574"/>
      <c r="AM55" s="574"/>
      <c r="AN55" s="574"/>
      <c r="AO55" s="574"/>
      <c r="AP55" s="367"/>
      <c r="AQ55" s="570" t="str">
        <f ca="1">IF(AND(test1="O.K.",test2="O.K."),Ponuka!F23,"?")</f>
        <v>?</v>
      </c>
      <c r="AR55" s="571"/>
      <c r="AS55" s="571"/>
      <c r="AT55" s="571"/>
      <c r="AU55" s="571"/>
      <c r="AV55" s="571"/>
      <c r="AW55" s="571"/>
      <c r="AX55" s="571"/>
      <c r="AY55" s="572"/>
      <c r="AZ55" s="171"/>
      <c r="BB55" s="146"/>
      <c r="BC55" s="146"/>
      <c r="BD55" s="146"/>
      <c r="BE55" s="146"/>
      <c r="BF55" s="146"/>
      <c r="BG55" s="146"/>
      <c r="BH55" s="146"/>
      <c r="BI55" s="146"/>
      <c r="BJ55" s="146"/>
      <c r="BK55" s="146"/>
      <c r="BL55" s="146"/>
      <c r="BM55" s="146"/>
      <c r="BN55" s="146"/>
    </row>
    <row r="56" spans="2:66" ht="6" customHeight="1">
      <c r="B56" s="255" t="s">
        <v>166</v>
      </c>
      <c r="C56" s="176"/>
      <c r="D56" s="176"/>
      <c r="E56" s="176"/>
      <c r="F56" s="176"/>
      <c r="G56" s="176"/>
      <c r="H56" s="176"/>
      <c r="I56" s="176"/>
      <c r="J56" s="176"/>
      <c r="K56" s="176"/>
      <c r="L56" s="176"/>
      <c r="M56" s="176"/>
      <c r="N56" s="176"/>
      <c r="O56" s="176"/>
      <c r="P56" s="176"/>
      <c r="Q56" s="176"/>
      <c r="R56" s="176"/>
      <c r="S56" s="176"/>
      <c r="T56" s="183"/>
      <c r="U56" s="183"/>
      <c r="V56" s="183"/>
      <c r="W56" s="183"/>
      <c r="X56" s="183"/>
      <c r="Y56" s="183"/>
      <c r="Z56" s="183"/>
      <c r="AA56" s="183"/>
      <c r="AB56" s="183"/>
      <c r="AC56" s="183"/>
      <c r="AD56" s="183"/>
      <c r="AE56" s="183"/>
      <c r="AF56" s="183"/>
      <c r="AG56" s="183"/>
      <c r="AH56" s="183"/>
      <c r="AI56" s="183"/>
      <c r="AJ56" s="183"/>
      <c r="AK56" s="183"/>
      <c r="AL56" s="183"/>
      <c r="AM56" s="183"/>
      <c r="AN56" s="183"/>
      <c r="AO56" s="183"/>
      <c r="AP56" s="183"/>
      <c r="AQ56" s="183"/>
      <c r="AR56" s="183"/>
      <c r="AS56" s="183"/>
      <c r="AT56" s="183"/>
      <c r="AU56" s="183"/>
      <c r="AV56" s="183"/>
      <c r="AW56" s="183"/>
      <c r="AX56" s="183"/>
      <c r="AY56" s="183"/>
      <c r="AZ56" s="171"/>
      <c r="BB56" s="146"/>
      <c r="BC56" s="146"/>
      <c r="BD56" s="146"/>
      <c r="BE56" s="146"/>
      <c r="BF56" s="146"/>
      <c r="BG56" s="146"/>
      <c r="BH56" s="146"/>
      <c r="BI56" s="146"/>
      <c r="BJ56" s="146"/>
      <c r="BK56" s="146"/>
      <c r="BL56" s="146"/>
      <c r="BM56" s="146"/>
      <c r="BN56" s="146"/>
    </row>
    <row r="57" spans="2:66" ht="21" customHeight="1">
      <c r="C57" s="177"/>
      <c r="D57" s="178" t="s">
        <v>125</v>
      </c>
      <c r="E57" s="177"/>
      <c r="F57" s="177"/>
      <c r="G57" s="179"/>
      <c r="H57" s="179"/>
      <c r="I57" s="179"/>
      <c r="J57" s="179"/>
      <c r="K57" s="179"/>
      <c r="L57" s="179"/>
      <c r="M57" s="179"/>
      <c r="N57" s="180"/>
      <c r="O57" s="180"/>
      <c r="P57" s="183"/>
      <c r="Q57" s="183"/>
      <c r="R57" s="183"/>
      <c r="S57" s="183"/>
      <c r="T57" s="183"/>
      <c r="U57" s="183"/>
      <c r="V57" s="183"/>
      <c r="W57" s="183"/>
      <c r="X57" s="183"/>
      <c r="Y57" s="183"/>
      <c r="Z57" s="183"/>
      <c r="AA57" s="183"/>
      <c r="AB57" s="183"/>
      <c r="AC57" s="183"/>
      <c r="AD57" s="183"/>
      <c r="AE57" s="183"/>
      <c r="AF57" s="183"/>
      <c r="AG57" s="183"/>
      <c r="AH57" s="183"/>
      <c r="AI57" s="183"/>
      <c r="AJ57" s="183"/>
      <c r="AK57" s="183"/>
      <c r="AL57" s="183"/>
      <c r="AM57" s="183"/>
      <c r="AN57" s="183"/>
      <c r="AO57" s="183"/>
      <c r="AP57" s="183"/>
      <c r="AQ57" s="183"/>
      <c r="AR57" s="183"/>
      <c r="AS57" s="183"/>
      <c r="AT57" s="183"/>
      <c r="AU57" s="183"/>
      <c r="AV57" s="183"/>
      <c r="AW57" s="183"/>
      <c r="AX57" s="183"/>
      <c r="AY57" s="183"/>
      <c r="AZ57" s="171"/>
      <c r="BB57" s="146"/>
      <c r="BC57" s="146"/>
      <c r="BD57" s="146"/>
      <c r="BE57" s="146"/>
      <c r="BF57" s="146"/>
      <c r="BG57" s="146"/>
      <c r="BH57" s="146"/>
      <c r="BI57" s="146"/>
      <c r="BJ57" s="146"/>
      <c r="BK57" s="146"/>
      <c r="BL57" s="146"/>
      <c r="BM57" s="146"/>
      <c r="BN57" s="146"/>
    </row>
    <row r="58" spans="2:66" ht="36.6" customHeight="1">
      <c r="C58" s="154"/>
      <c r="D58" s="536" t="s">
        <v>21</v>
      </c>
      <c r="E58" s="537"/>
      <c r="F58" s="537"/>
      <c r="G58" s="537"/>
      <c r="H58" s="537"/>
      <c r="I58" s="537"/>
      <c r="J58" s="362"/>
      <c r="K58" s="538" t="s">
        <v>22</v>
      </c>
      <c r="L58" s="539"/>
      <c r="M58" s="539"/>
      <c r="N58" s="539"/>
      <c r="O58" s="539"/>
      <c r="P58" s="539"/>
      <c r="Q58" s="539"/>
      <c r="R58" s="539"/>
      <c r="S58" s="539"/>
      <c r="T58" s="539"/>
      <c r="U58" s="539"/>
      <c r="V58" s="539"/>
      <c r="W58" s="539"/>
      <c r="X58" s="539"/>
      <c r="Y58" s="539"/>
      <c r="Z58" s="539"/>
      <c r="AA58" s="539"/>
      <c r="AB58" s="539"/>
      <c r="AC58" s="539"/>
      <c r="AD58" s="539"/>
      <c r="AE58" s="539"/>
      <c r="AF58" s="539"/>
      <c r="AG58" s="540"/>
      <c r="AH58" s="539" t="s">
        <v>7</v>
      </c>
      <c r="AI58" s="539"/>
      <c r="AJ58" s="539"/>
      <c r="AK58" s="539"/>
      <c r="AL58" s="539"/>
      <c r="AM58" s="539"/>
      <c r="AN58" s="539"/>
      <c r="AO58" s="539"/>
      <c r="AP58" s="540"/>
      <c r="AQ58" s="537" t="s">
        <v>279</v>
      </c>
      <c r="AR58" s="537"/>
      <c r="AS58" s="537"/>
      <c r="AT58" s="537"/>
      <c r="AU58" s="537"/>
      <c r="AV58" s="537"/>
      <c r="AW58" s="537"/>
      <c r="AX58" s="537"/>
      <c r="AY58" s="541"/>
      <c r="AZ58" s="171"/>
      <c r="BB58" s="146"/>
      <c r="BC58" s="146"/>
      <c r="BD58" s="146"/>
      <c r="BE58" s="146"/>
      <c r="BF58" s="146"/>
      <c r="BG58" s="146"/>
      <c r="BH58" s="146"/>
      <c r="BI58" s="146"/>
      <c r="BJ58" s="146"/>
      <c r="BK58" s="146"/>
      <c r="BL58" s="146"/>
      <c r="BM58" s="146"/>
      <c r="BN58" s="146"/>
    </row>
    <row r="59" spans="2:66" ht="16.95" customHeight="1">
      <c r="C59" s="181"/>
      <c r="D59" s="530" t="s">
        <v>23</v>
      </c>
      <c r="E59" s="531"/>
      <c r="F59" s="531"/>
      <c r="G59" s="531"/>
      <c r="H59" s="531"/>
      <c r="I59" s="531"/>
      <c r="J59" s="276"/>
      <c r="K59" s="508" t="s">
        <v>24</v>
      </c>
      <c r="L59" s="509"/>
      <c r="M59" s="509"/>
      <c r="N59" s="509"/>
      <c r="O59" s="509"/>
      <c r="P59" s="509"/>
      <c r="Q59" s="509"/>
      <c r="R59" s="509"/>
      <c r="S59" s="509"/>
      <c r="T59" s="509"/>
      <c r="U59" s="509"/>
      <c r="V59" s="509"/>
      <c r="W59" s="509"/>
      <c r="X59" s="509"/>
      <c r="Y59" s="509"/>
      <c r="Z59" s="509"/>
      <c r="AA59" s="509"/>
      <c r="AB59" s="509"/>
      <c r="AC59" s="509"/>
      <c r="AD59" s="509"/>
      <c r="AE59" s="509"/>
      <c r="AF59" s="509"/>
      <c r="AG59" s="510"/>
      <c r="AH59" s="532" t="str">
        <f ca="1">IF(AND(test1="O.K.",test2="O.K.",zamest=TRUE),su_zam,"?")</f>
        <v>?</v>
      </c>
      <c r="AI59" s="532"/>
      <c r="AJ59" s="532"/>
      <c r="AK59" s="532"/>
      <c r="AL59" s="532"/>
      <c r="AM59" s="532"/>
      <c r="AN59" s="532"/>
      <c r="AO59" s="532"/>
      <c r="AP59" s="533"/>
      <c r="AQ59" s="534" t="str">
        <f ca="1">IF(AND(test1="O.K.",test2="O.K.",zamest=TRUE),Ponuka!F28,"?")</f>
        <v>?</v>
      </c>
      <c r="AR59" s="534"/>
      <c r="AS59" s="534"/>
      <c r="AT59" s="534"/>
      <c r="AU59" s="534"/>
      <c r="AV59" s="534"/>
      <c r="AW59" s="534"/>
      <c r="AX59" s="534"/>
      <c r="AY59" s="535"/>
      <c r="AZ59" s="171"/>
      <c r="BB59" s="146"/>
      <c r="BC59" s="146"/>
      <c r="BD59" s="146"/>
      <c r="BE59" s="146"/>
      <c r="BF59" s="146"/>
      <c r="BG59" s="146"/>
      <c r="BH59" s="146"/>
      <c r="BI59" s="146"/>
      <c r="BJ59" s="146"/>
      <c r="BK59" s="146"/>
      <c r="BL59" s="146"/>
      <c r="BM59" s="146"/>
      <c r="BN59" s="146"/>
    </row>
    <row r="60" spans="2:66" ht="13.2" customHeight="1">
      <c r="B60" s="255" t="s">
        <v>166</v>
      </c>
      <c r="C60" s="181"/>
      <c r="D60" s="530" t="s">
        <v>23</v>
      </c>
      <c r="E60" s="531"/>
      <c r="F60" s="531"/>
      <c r="G60" s="531"/>
      <c r="H60" s="531"/>
      <c r="I60" s="531"/>
      <c r="J60" s="276"/>
      <c r="K60" s="508" t="s">
        <v>25</v>
      </c>
      <c r="L60" s="509"/>
      <c r="M60" s="509"/>
      <c r="N60" s="509"/>
      <c r="O60" s="509"/>
      <c r="P60" s="509"/>
      <c r="Q60" s="509"/>
      <c r="R60" s="509"/>
      <c r="S60" s="509"/>
      <c r="T60" s="509"/>
      <c r="U60" s="509"/>
      <c r="V60" s="509"/>
      <c r="W60" s="509"/>
      <c r="X60" s="509"/>
      <c r="Y60" s="509"/>
      <c r="Z60" s="509"/>
      <c r="AA60" s="509"/>
      <c r="AB60" s="509"/>
      <c r="AC60" s="509"/>
      <c r="AD60" s="509"/>
      <c r="AE60" s="509"/>
      <c r="AF60" s="509"/>
      <c r="AG60" s="510"/>
      <c r="AH60" s="532" t="str">
        <f ca="1">IF(AND(test1="O.K.",test2="O.K.",zamest=TRUE),tnu_zam,"?")</f>
        <v>?</v>
      </c>
      <c r="AI60" s="532"/>
      <c r="AJ60" s="532"/>
      <c r="AK60" s="532"/>
      <c r="AL60" s="532"/>
      <c r="AM60" s="532"/>
      <c r="AN60" s="532"/>
      <c r="AO60" s="532"/>
      <c r="AP60" s="533"/>
      <c r="AQ60" s="534" t="str">
        <f ca="1">IF(AND(test1="O.K.",test2="O.K.",zamest=TRUE),Ponuka!F29,"?")</f>
        <v>?</v>
      </c>
      <c r="AR60" s="534"/>
      <c r="AS60" s="534"/>
      <c r="AT60" s="534"/>
      <c r="AU60" s="534"/>
      <c r="AV60" s="534"/>
      <c r="AW60" s="534"/>
      <c r="AX60" s="534"/>
      <c r="AY60" s="535"/>
      <c r="AZ60" s="171"/>
      <c r="BB60" s="146"/>
      <c r="BC60" s="146"/>
      <c r="BD60" s="146"/>
      <c r="BE60" s="146"/>
      <c r="BF60" s="146"/>
      <c r="BG60" s="146"/>
      <c r="BH60" s="146"/>
      <c r="BI60" s="146"/>
      <c r="BJ60" s="146"/>
      <c r="BK60" s="146"/>
      <c r="BL60" s="146"/>
      <c r="BM60" s="146"/>
      <c r="BN60" s="146"/>
    </row>
    <row r="61" spans="2:66" ht="15" customHeight="1">
      <c r="B61" s="255" t="s">
        <v>166</v>
      </c>
      <c r="C61" s="181"/>
      <c r="D61" s="530" t="s">
        <v>23</v>
      </c>
      <c r="E61" s="531"/>
      <c r="F61" s="531"/>
      <c r="G61" s="531"/>
      <c r="H61" s="531"/>
      <c r="I61" s="531"/>
      <c r="J61" s="276"/>
      <c r="K61" s="508" t="s">
        <v>102</v>
      </c>
      <c r="L61" s="509"/>
      <c r="M61" s="509"/>
      <c r="N61" s="509"/>
      <c r="O61" s="509"/>
      <c r="P61" s="509"/>
      <c r="Q61" s="509"/>
      <c r="R61" s="509"/>
      <c r="S61" s="509"/>
      <c r="T61" s="509"/>
      <c r="U61" s="509"/>
      <c r="V61" s="509"/>
      <c r="W61" s="509"/>
      <c r="X61" s="509"/>
      <c r="Y61" s="509"/>
      <c r="Z61" s="509"/>
      <c r="AA61" s="509"/>
      <c r="AB61" s="509"/>
      <c r="AC61" s="509"/>
      <c r="AD61" s="509"/>
      <c r="AE61" s="509"/>
      <c r="AF61" s="509"/>
      <c r="AG61" s="510"/>
      <c r="AH61" s="532" t="str">
        <f ca="1">IF(AND(test1="O.K.",test2="O.K.",zamest=TRUE),dd_zam,"?")</f>
        <v>?</v>
      </c>
      <c r="AI61" s="532"/>
      <c r="AJ61" s="532"/>
      <c r="AK61" s="532"/>
      <c r="AL61" s="532"/>
      <c r="AM61" s="532"/>
      <c r="AN61" s="532"/>
      <c r="AO61" s="532"/>
      <c r="AP61" s="533"/>
      <c r="AQ61" s="534" t="str">
        <f ca="1">IF(AND(test1="O.K.",test2="O.K.",zamest=TRUE),Ponuka!F30,"?")</f>
        <v>?</v>
      </c>
      <c r="AR61" s="534"/>
      <c r="AS61" s="534"/>
      <c r="AT61" s="534"/>
      <c r="AU61" s="534"/>
      <c r="AV61" s="534"/>
      <c r="AW61" s="534"/>
      <c r="AX61" s="534"/>
      <c r="AY61" s="535"/>
      <c r="AZ61" s="171"/>
      <c r="BB61" s="146"/>
      <c r="BC61" s="146"/>
      <c r="BD61" s="146"/>
      <c r="BE61" s="146"/>
      <c r="BF61" s="146"/>
      <c r="BG61" s="146"/>
      <c r="BH61" s="146"/>
      <c r="BI61" s="146"/>
      <c r="BJ61" s="146"/>
      <c r="BK61" s="146"/>
      <c r="BL61" s="146"/>
      <c r="BM61" s="146"/>
      <c r="BN61" s="146"/>
    </row>
    <row r="62" spans="2:66" ht="14.4" customHeight="1">
      <c r="C62" s="176"/>
      <c r="D62" s="530" t="s">
        <v>23</v>
      </c>
      <c r="E62" s="531"/>
      <c r="F62" s="531"/>
      <c r="G62" s="531"/>
      <c r="H62" s="531"/>
      <c r="I62" s="531"/>
      <c r="J62" s="429"/>
      <c r="K62" s="575" t="s">
        <v>323</v>
      </c>
      <c r="L62" s="576"/>
      <c r="M62" s="576"/>
      <c r="N62" s="576"/>
      <c r="O62" s="576"/>
      <c r="P62" s="576"/>
      <c r="Q62" s="576"/>
      <c r="R62" s="576"/>
      <c r="S62" s="576"/>
      <c r="T62" s="576"/>
      <c r="U62" s="576"/>
      <c r="V62" s="576"/>
      <c r="W62" s="576"/>
      <c r="X62" s="576"/>
      <c r="Y62" s="576"/>
      <c r="Z62" s="576"/>
      <c r="AA62" s="576"/>
      <c r="AB62" s="576"/>
      <c r="AC62" s="576"/>
      <c r="AD62" s="576"/>
      <c r="AE62" s="576"/>
      <c r="AF62" s="576"/>
      <c r="AG62" s="430"/>
      <c r="AH62" s="532" t="str">
        <f ca="1">IF(AND(test1="O.K.",test2="O.K."),zp_uc,"?")</f>
        <v>?</v>
      </c>
      <c r="AI62" s="532"/>
      <c r="AJ62" s="532"/>
      <c r="AK62" s="532"/>
      <c r="AL62" s="532"/>
      <c r="AM62" s="532"/>
      <c r="AN62" s="532"/>
      <c r="AO62" s="532"/>
      <c r="AP62" s="533"/>
      <c r="AQ62" s="534" t="str">
        <f ca="1">IF(AND(test1="O.K.",test2="O.K.",zamest=TRUE),Ponuka!F31,"?")</f>
        <v>?</v>
      </c>
      <c r="AR62" s="534"/>
      <c r="AS62" s="534"/>
      <c r="AT62" s="534"/>
      <c r="AU62" s="534"/>
      <c r="AV62" s="534"/>
      <c r="AW62" s="534"/>
      <c r="AX62" s="534"/>
      <c r="AY62" s="535"/>
      <c r="AZ62" s="171"/>
      <c r="BB62" s="146"/>
      <c r="BC62" s="146"/>
      <c r="BD62" s="146"/>
      <c r="BE62" s="146"/>
      <c r="BF62" s="146"/>
      <c r="BG62" s="146"/>
      <c r="BH62" s="146"/>
      <c r="BI62" s="146"/>
      <c r="BJ62" s="146"/>
      <c r="BK62" s="146"/>
      <c r="BL62" s="146"/>
      <c r="BM62" s="146"/>
      <c r="BN62" s="146"/>
    </row>
    <row r="63" spans="2:66" ht="23.25" customHeight="1">
      <c r="C63" s="181"/>
      <c r="D63" s="573" t="str">
        <f>IF(doba="určitá","Poistné pre zamestnanca za dobu trvania poistenia spolu",IF(doba="neurčitá","Poistné pre zamestnanca na školský rok (od 1.9. príslušného kalendárneho roka do 31.8. nasledujúceho kalendárneho roka) spolu",""))</f>
        <v>Poistné pre zamestnanca za dobu trvania poistenia spolu</v>
      </c>
      <c r="E63" s="574"/>
      <c r="F63" s="574"/>
      <c r="G63" s="574"/>
      <c r="H63" s="574"/>
      <c r="I63" s="574"/>
      <c r="J63" s="574"/>
      <c r="K63" s="574"/>
      <c r="L63" s="574"/>
      <c r="M63" s="574"/>
      <c r="N63" s="574"/>
      <c r="O63" s="574"/>
      <c r="P63" s="574"/>
      <c r="Q63" s="574"/>
      <c r="R63" s="574"/>
      <c r="S63" s="574"/>
      <c r="T63" s="574"/>
      <c r="U63" s="574"/>
      <c r="V63" s="574"/>
      <c r="W63" s="574"/>
      <c r="X63" s="574"/>
      <c r="Y63" s="574"/>
      <c r="Z63" s="574"/>
      <c r="AA63" s="574"/>
      <c r="AB63" s="574"/>
      <c r="AC63" s="574"/>
      <c r="AD63" s="574"/>
      <c r="AE63" s="574"/>
      <c r="AF63" s="574"/>
      <c r="AG63" s="574"/>
      <c r="AH63" s="574"/>
      <c r="AI63" s="574"/>
      <c r="AJ63" s="574"/>
      <c r="AK63" s="574"/>
      <c r="AL63" s="574"/>
      <c r="AM63" s="574"/>
      <c r="AN63" s="574"/>
      <c r="AO63" s="574"/>
      <c r="AP63" s="367"/>
      <c r="AQ63" s="570" t="str">
        <f ca="1">IF(AND(test1="O.K.",test2="O.K.",zamest=TRUE),Ponuka!F32,"?")</f>
        <v>?</v>
      </c>
      <c r="AR63" s="571"/>
      <c r="AS63" s="571"/>
      <c r="AT63" s="571"/>
      <c r="AU63" s="571"/>
      <c r="AV63" s="571"/>
      <c r="AW63" s="571"/>
      <c r="AX63" s="571"/>
      <c r="AY63" s="572"/>
      <c r="AZ63" s="171"/>
      <c r="BB63" s="146"/>
      <c r="BC63" s="146"/>
      <c r="BD63" s="146"/>
      <c r="BE63" s="146"/>
      <c r="BF63" s="146"/>
      <c r="BG63" s="146"/>
      <c r="BH63" s="146"/>
      <c r="BI63" s="146"/>
      <c r="BJ63" s="146"/>
      <c r="BK63" s="146"/>
      <c r="BL63" s="146"/>
      <c r="BM63" s="146"/>
      <c r="BN63" s="146"/>
    </row>
    <row r="64" spans="2:66" ht="28.95" customHeight="1">
      <c r="B64" s="255" t="s">
        <v>166</v>
      </c>
      <c r="C64" s="181"/>
      <c r="D64" s="577" t="s">
        <v>272</v>
      </c>
      <c r="E64" s="577"/>
      <c r="F64" s="577"/>
      <c r="G64" s="577"/>
      <c r="H64" s="577"/>
      <c r="I64" s="577"/>
      <c r="J64" s="577"/>
      <c r="K64" s="577"/>
      <c r="L64" s="577"/>
      <c r="M64" s="577"/>
      <c r="N64" s="577"/>
      <c r="O64" s="577"/>
      <c r="P64" s="577"/>
      <c r="Q64" s="577"/>
      <c r="R64" s="577"/>
      <c r="S64" s="577"/>
      <c r="T64" s="577"/>
      <c r="U64" s="577"/>
      <c r="V64" s="577"/>
      <c r="W64" s="577"/>
      <c r="X64" s="577"/>
      <c r="Y64" s="577"/>
      <c r="Z64" s="577"/>
      <c r="AA64" s="577"/>
      <c r="AB64" s="577"/>
      <c r="AC64" s="577"/>
      <c r="AD64" s="577"/>
      <c r="AE64" s="577"/>
      <c r="AF64" s="577"/>
      <c r="AG64" s="577"/>
      <c r="AH64" s="577"/>
      <c r="AI64" s="577"/>
      <c r="AJ64" s="577"/>
      <c r="AK64" s="577"/>
      <c r="AL64" s="577"/>
      <c r="AM64" s="577"/>
      <c r="AN64" s="577"/>
      <c r="AO64" s="577"/>
      <c r="AP64" s="577"/>
      <c r="AQ64" s="577"/>
      <c r="AR64" s="577"/>
      <c r="AS64" s="577"/>
      <c r="AT64" s="577"/>
      <c r="AU64" s="577"/>
      <c r="AV64" s="577"/>
      <c r="AW64" s="577"/>
      <c r="AX64" s="577"/>
      <c r="AY64" s="577"/>
      <c r="AZ64" s="171"/>
      <c r="BB64" s="186"/>
      <c r="BC64" s="146"/>
      <c r="BD64" s="146"/>
      <c r="BE64" s="146"/>
      <c r="BF64" s="146"/>
      <c r="BG64" s="146"/>
      <c r="BH64" s="146"/>
      <c r="BI64" s="146"/>
      <c r="BJ64" s="146"/>
      <c r="BK64" s="146"/>
      <c r="BL64" s="146"/>
      <c r="BM64" s="146"/>
      <c r="BN64" s="146"/>
    </row>
    <row r="65" spans="1:66" ht="13.5" customHeight="1">
      <c r="C65" s="181"/>
      <c r="D65" s="511" t="s">
        <v>127</v>
      </c>
      <c r="E65" s="511"/>
      <c r="F65" s="511"/>
      <c r="G65" s="511"/>
      <c r="H65" s="511"/>
      <c r="I65" s="511"/>
      <c r="J65" s="511"/>
      <c r="K65" s="511"/>
      <c r="L65" s="511"/>
      <c r="M65" s="511"/>
      <c r="N65" s="511"/>
      <c r="O65" s="511"/>
      <c r="P65" s="511"/>
      <c r="Q65" s="511"/>
      <c r="R65" s="511"/>
      <c r="S65" s="511"/>
      <c r="T65" s="511"/>
      <c r="U65" s="511"/>
      <c r="V65" s="511"/>
      <c r="W65" s="511"/>
      <c r="X65" s="511"/>
      <c r="Y65" s="511"/>
      <c r="Z65" s="511"/>
      <c r="AA65" s="511"/>
      <c r="AB65" s="511"/>
      <c r="AC65" s="511"/>
      <c r="AD65" s="511"/>
      <c r="AE65" s="511"/>
      <c r="AF65" s="511"/>
      <c r="AG65" s="511"/>
      <c r="AH65" s="511"/>
      <c r="AI65" s="511"/>
      <c r="AJ65" s="511"/>
      <c r="AK65" s="511"/>
      <c r="AL65" s="511"/>
      <c r="AM65" s="511"/>
      <c r="AN65" s="511"/>
      <c r="AO65" s="511"/>
      <c r="AP65" s="511"/>
      <c r="AQ65" s="511"/>
      <c r="AR65" s="511"/>
      <c r="AS65" s="511"/>
      <c r="AT65" s="511"/>
      <c r="AU65" s="511"/>
      <c r="AV65" s="511"/>
      <c r="AW65" s="511"/>
      <c r="AX65" s="511"/>
      <c r="AY65" s="511"/>
      <c r="AZ65" s="171"/>
      <c r="BB65" s="146"/>
      <c r="BC65" s="146"/>
      <c r="BD65" s="146"/>
      <c r="BE65" s="146"/>
      <c r="BF65" s="146"/>
      <c r="BG65" s="146"/>
      <c r="BH65" s="146"/>
      <c r="BI65" s="146"/>
      <c r="BJ65" s="146"/>
      <c r="BK65" s="146"/>
      <c r="BL65" s="146"/>
      <c r="BM65" s="146"/>
      <c r="BN65" s="146"/>
    </row>
    <row r="66" spans="1:66" ht="109.2" customHeight="1">
      <c r="B66" s="255" t="s">
        <v>166</v>
      </c>
      <c r="C66" s="181"/>
      <c r="D66" s="503" t="s">
        <v>26</v>
      </c>
      <c r="E66" s="503"/>
      <c r="F66" s="504" t="str">
        <f>IF(zamest=TRUE,CONCATENATE("O zmenách v počte poistených osôb (Hlásenie počtu poistených osôb) podľa bodov 2 a 3 tohto článku, poistník informuje poisťovateľa mailom na adresu sprava@union.sk"&amp;" alebo písomne na adresu: Union poisťovňa, a.s., Správa neživotného poistenia, Karadžičova 10, 813 60 Bratislava."&amp;" Informácia o zmene Hlásenia počtu poistených osôb musí obsahovať: číslo poistnej zmluvy, aktualizovaný počet poistených osôb (detí a zamestnanci samostatne) a dátum zmeny"&amp;" (určený podľa čl. 4 OD ÚPŽ). Zmena poistených osôb platí pre všetky poistenia uvedené v časti Predmety poistenia,"&amp;" ktoré sa nachádzajú v tabuľke č. 1 v prípade zmeny počtu žiakov,"&amp;"  resp. v tabuľke č. 2 v prípade zmeny počtu zamestnancov."),CONCATENATE("O zmenách v počte poistených osôb (Hlásenie počtu poistených osôb),  podľa bodov 2 a 3 tohto článku, poistník informuje poisťovateľa mailom na adresu sprava@union.sk"&amp;" alebo písomne na adresu: Union poisťovňa, a.s., Správa neživotného poistenia, Karadžičova 10, 813 60 Bratislava."&amp;" Informácia o zmene Hlásenia počtu poistených osôb musí obsahovať: číslo poistnej zmluvy, aktualizovaný počet poistených osôb (detí a zamestnanci samostatne) a dátum zmeny"&amp;" (určený podľa čl. 4 OD ÚPŽ). Zmena Hlásenia počtu poistených osôb platí pre všetky poistenia uvedené v časti Predmety"&amp;"  poistenia, ktoré sa nachádzajú v tabuľke č. 1 v prípade zmeny počtu žiakov."))</f>
        <v>O zmenách v počte poistených osôb (Hlásenie počtu poistených osôb) podľa bodov 2 a 3 tohto článku, poistník informuje poisťovateľa mailom na adresu sprava@union.sk alebo písomne na adresu: Union poisťovňa, a.s., Správa neživotného poistenia, Karadžičova 10, 813 60 Bratislava. Informácia o zmene Hlásenia počtu poistených osôb musí obsahovať: číslo poistnej zmluvy, aktualizovaný počet poistených osôb (detí a zamestnanci samostatne) a dátum zmeny (určený podľa čl. 4 OD ÚPŽ). Zmena poistených osôb platí pre všetky poistenia uvedené v časti Predmety poistenia, ktoré sa nachádzajú v tabuľke č. 1 v prípade zmeny počtu žiakov,  resp. v tabuľke č. 2 v prípade zmeny počtu zamestnancov.</v>
      </c>
      <c r="G66" s="504"/>
      <c r="H66" s="504"/>
      <c r="I66" s="504"/>
      <c r="J66" s="504"/>
      <c r="K66" s="504"/>
      <c r="L66" s="504"/>
      <c r="M66" s="504"/>
      <c r="N66" s="504"/>
      <c r="O66" s="504"/>
      <c r="P66" s="504"/>
      <c r="Q66" s="504"/>
      <c r="R66" s="504"/>
      <c r="S66" s="504"/>
      <c r="T66" s="504"/>
      <c r="U66" s="504"/>
      <c r="V66" s="504"/>
      <c r="W66" s="504"/>
      <c r="X66" s="504"/>
      <c r="Y66" s="504"/>
      <c r="Z66" s="504"/>
      <c r="AA66" s="504"/>
      <c r="AB66" s="504"/>
      <c r="AC66" s="504"/>
      <c r="AD66" s="504"/>
      <c r="AE66" s="504"/>
      <c r="AF66" s="504"/>
      <c r="AG66" s="504"/>
      <c r="AH66" s="504"/>
      <c r="AI66" s="504"/>
      <c r="AJ66" s="504"/>
      <c r="AK66" s="504"/>
      <c r="AL66" s="504"/>
      <c r="AM66" s="504"/>
      <c r="AN66" s="504"/>
      <c r="AO66" s="504"/>
      <c r="AP66" s="504"/>
      <c r="AQ66" s="504"/>
      <c r="AR66" s="504"/>
      <c r="AS66" s="504"/>
      <c r="AT66" s="504"/>
      <c r="AU66" s="504"/>
      <c r="AV66" s="504"/>
      <c r="AW66" s="504"/>
      <c r="AX66" s="504"/>
      <c r="AY66" s="504"/>
      <c r="AZ66" s="171"/>
      <c r="BB66" s="501"/>
      <c r="BC66" s="501"/>
      <c r="BD66" s="501"/>
      <c r="BE66" s="501"/>
      <c r="BF66" s="501"/>
      <c r="BG66" s="501"/>
      <c r="BH66" s="501"/>
      <c r="BI66" s="501"/>
      <c r="BJ66" s="501"/>
      <c r="BK66" s="501"/>
      <c r="BL66" s="501"/>
      <c r="BM66" s="501"/>
      <c r="BN66" s="501"/>
    </row>
    <row r="67" spans="1:66" ht="56.25" customHeight="1">
      <c r="B67" s="255" t="s">
        <v>166</v>
      </c>
      <c r="C67" s="181"/>
      <c r="D67" s="503" t="s">
        <v>27</v>
      </c>
      <c r="E67" s="503"/>
      <c r="F67" s="504" t="b">
        <f>IF(AND(doba="určitá",subjek="áno"),CONCATENATE("Poistník je povinný  informovať poisťovateľa v prípade, ak aktuálny počet poistených prevýši celkový počet poistených,"&amp;" evidovaných na začiatku doby trvania poistenia, o viac ako 25%."&amp;" V tomto prípade poisťovateľ vyhotoví Dodatok k tejto poistnej zmluve. Poisťovateľovi týmto vzniká nárok na doplatenie poistného."),IF(AND(doba="neurčitá",subjek="áno"),CONCATENATE("Poistník je povinný  informovať poisťovateľa v prípade, ak aktuálny počet poistených prevýši celkový počet poistených,"&amp;" evidovaných na začiatku príslušného poistného obdobia, o viac ako 25%."&amp;" V tomto prípade poisťovateľ vyhotoví Dodatok k tejto poistnej zmluve. Poisťovateľovi týmto vzniká nárok na doplatenie poistného."),IF(AND(doba="určitá",subjek="nie"),CONCATENATE("Poistník je povinný  informovať poisťovateľa v prípade, ak aktuálny počet poistených prevýši celkový počet poistených,"&amp;" evidovaných na začiatku doby trvania poistenia, o viac ako 25%."&amp;" V tomto prípade poisťovateľ vyhotoví Prílohu č. 2 k tejto poistnej zmluve. Poisťovateľovi týmto vzniká nárok na doplatenie poistného."),IF(AND(doba="neurčitá",subjek="nie"),CONCATENATE("Poistník je povinný  informovať poisťovateľa v prípade, ak aktuálny počet poistených prevýši celkový počet poistených,"&amp;" evidovaných na začiatku príslušného poistného obdobia, o viac ako 25%."&amp;" V tomto prípade poisťovateľ vyhotoví Prílohu č. 2 k tejto poistnej zmluve. Poisťovateľovi týmto vzniká nárok na doplatenie poistného.")))))</f>
        <v>0</v>
      </c>
      <c r="G67" s="504"/>
      <c r="H67" s="504"/>
      <c r="I67" s="504"/>
      <c r="J67" s="504"/>
      <c r="K67" s="504"/>
      <c r="L67" s="504"/>
      <c r="M67" s="504"/>
      <c r="N67" s="504"/>
      <c r="O67" s="504"/>
      <c r="P67" s="504"/>
      <c r="Q67" s="504"/>
      <c r="R67" s="504"/>
      <c r="S67" s="504"/>
      <c r="T67" s="504"/>
      <c r="U67" s="504"/>
      <c r="V67" s="504"/>
      <c r="W67" s="504"/>
      <c r="X67" s="504"/>
      <c r="Y67" s="504"/>
      <c r="Z67" s="504"/>
      <c r="AA67" s="504"/>
      <c r="AB67" s="504"/>
      <c r="AC67" s="504"/>
      <c r="AD67" s="504"/>
      <c r="AE67" s="504"/>
      <c r="AF67" s="504"/>
      <c r="AG67" s="504"/>
      <c r="AH67" s="504"/>
      <c r="AI67" s="504"/>
      <c r="AJ67" s="504"/>
      <c r="AK67" s="504"/>
      <c r="AL67" s="504"/>
      <c r="AM67" s="504"/>
      <c r="AN67" s="504"/>
      <c r="AO67" s="504"/>
      <c r="AP67" s="504"/>
      <c r="AQ67" s="504"/>
      <c r="AR67" s="504"/>
      <c r="AS67" s="504"/>
      <c r="AT67" s="504"/>
      <c r="AU67" s="504"/>
      <c r="AV67" s="504"/>
      <c r="AW67" s="504"/>
      <c r="AX67" s="504"/>
      <c r="AY67" s="504"/>
      <c r="AZ67" s="171"/>
      <c r="BB67" s="569"/>
      <c r="BC67" s="569"/>
      <c r="BD67" s="569"/>
      <c r="BE67" s="569"/>
      <c r="BF67" s="569"/>
      <c r="BG67" s="569"/>
      <c r="BH67" s="569"/>
      <c r="BI67" s="569"/>
      <c r="BJ67" s="569"/>
      <c r="BK67" s="569"/>
      <c r="BL67" s="569"/>
      <c r="BM67" s="569"/>
      <c r="BN67" s="569"/>
    </row>
    <row r="68" spans="1:66" s="163" customFormat="1" ht="54" customHeight="1">
      <c r="A68" s="218"/>
      <c r="B68" s="255" t="s">
        <v>166</v>
      </c>
      <c r="C68" s="368"/>
      <c r="D68" s="503" t="s">
        <v>129</v>
      </c>
      <c r="E68" s="503"/>
      <c r="F68" s="504" t="b">
        <f>IF(AND(doba="určitá",subjek="áno"),CONCATENATE("Poistník môže požiadať poisťovateľa o vrátenie nespotrebovanej časti poistného, ak sa aktuálny počet poistených zníži oproti celkovému počtu poistených,"&amp;" evidovaných na začiatku doby trvania poistenia, o viac ako 10%."&amp;" V tomto prípade poisťovateľ vyhotoví Dodatok k tejto poistnej zmluve."),IF(AND(doba="neurčitá",subjek="áno"),CONCATENATE("Poistník môže požiadať poisťovateľa o vrátenie nespotrebovanej časti poistného, ak sa aktuálny počet poistených zníži oproti celkovému počtu poistených,"&amp;" evidovaných na začiatku príslušného poistného obdobia, o viac ako 10%."&amp;" V tomto prípade poisťovateľ vyhotoví Dodatok k tejto poistnej zmluve."),IF(AND(doba="určitá",subjek="nie"),CONCATENATE("Poistník môže požiadať poisťovateľa o vrátenie nespotrebovanej časti poistného, ak sa aktuálny počet poistených zníži oproti celkovému počtu poistených,"&amp;" evidovaných na začiatku doby trvania poistenia, o viac ako 10%."&amp;" V tomto prípade poisťovateľ vyhotoví Prílohu č. 2 k tejto poistnej zmluve."),IF(AND(doba="neurčitá",subjek="nie"),CONCATENATE("Poistník môže požiadať poisťovateľa o vrátenie nespotrebovanej časti poistného, ak sa aktuálny počet poistených zníži oproti celkovému počtu poistených,"&amp;" evidovaných na začiatku príslušného poistného obdobia, o viac ako 10%."&amp;" V tomto prípade poisťovateľ vyhotoví Prílohu č. 2 k tejto poistnej zmluve.")))))</f>
        <v>0</v>
      </c>
      <c r="G68" s="504"/>
      <c r="H68" s="504"/>
      <c r="I68" s="504"/>
      <c r="J68" s="504"/>
      <c r="K68" s="504"/>
      <c r="L68" s="504"/>
      <c r="M68" s="504"/>
      <c r="N68" s="504"/>
      <c r="O68" s="504"/>
      <c r="P68" s="504"/>
      <c r="Q68" s="504"/>
      <c r="R68" s="504"/>
      <c r="S68" s="504"/>
      <c r="T68" s="504"/>
      <c r="U68" s="504"/>
      <c r="V68" s="504"/>
      <c r="W68" s="504"/>
      <c r="X68" s="504"/>
      <c r="Y68" s="504"/>
      <c r="Z68" s="504"/>
      <c r="AA68" s="504"/>
      <c r="AB68" s="504"/>
      <c r="AC68" s="504"/>
      <c r="AD68" s="504"/>
      <c r="AE68" s="504"/>
      <c r="AF68" s="504"/>
      <c r="AG68" s="504"/>
      <c r="AH68" s="504"/>
      <c r="AI68" s="504"/>
      <c r="AJ68" s="504"/>
      <c r="AK68" s="504"/>
      <c r="AL68" s="504"/>
      <c r="AM68" s="504"/>
      <c r="AN68" s="504"/>
      <c r="AO68" s="504"/>
      <c r="AP68" s="504"/>
      <c r="AQ68" s="504"/>
      <c r="AR68" s="504"/>
      <c r="AS68" s="504"/>
      <c r="AT68" s="504"/>
      <c r="AU68" s="504"/>
      <c r="AV68" s="504"/>
      <c r="AW68" s="504"/>
      <c r="AX68" s="504"/>
      <c r="AY68" s="504"/>
      <c r="AZ68" s="182"/>
      <c r="BA68" s="164"/>
      <c r="BB68" s="164"/>
      <c r="BC68" s="164"/>
      <c r="BD68" s="164"/>
      <c r="BE68" s="164"/>
      <c r="BF68" s="164"/>
      <c r="BG68" s="164"/>
      <c r="BH68" s="164"/>
      <c r="BI68" s="164"/>
      <c r="BJ68" s="164"/>
      <c r="BK68" s="164"/>
      <c r="BL68" s="164"/>
      <c r="BM68" s="164"/>
      <c r="BN68" s="164"/>
    </row>
    <row r="69" spans="1:66" ht="69.599999999999994" customHeight="1">
      <c r="B69" s="255" t="s">
        <v>166</v>
      </c>
      <c r="C69" s="181"/>
      <c r="D69" s="503" t="s">
        <v>130</v>
      </c>
      <c r="E69" s="503"/>
      <c r="F69" s="504" t="s">
        <v>294</v>
      </c>
      <c r="G69" s="504"/>
      <c r="H69" s="504"/>
      <c r="I69" s="504"/>
      <c r="J69" s="504"/>
      <c r="K69" s="504"/>
      <c r="L69" s="504"/>
      <c r="M69" s="504"/>
      <c r="N69" s="504"/>
      <c r="O69" s="504"/>
      <c r="P69" s="504"/>
      <c r="Q69" s="504"/>
      <c r="R69" s="504"/>
      <c r="S69" s="504"/>
      <c r="T69" s="504"/>
      <c r="U69" s="504"/>
      <c r="V69" s="504"/>
      <c r="W69" s="504"/>
      <c r="X69" s="504"/>
      <c r="Y69" s="504"/>
      <c r="Z69" s="504"/>
      <c r="AA69" s="504"/>
      <c r="AB69" s="504"/>
      <c r="AC69" s="504"/>
      <c r="AD69" s="504"/>
      <c r="AE69" s="504"/>
      <c r="AF69" s="504"/>
      <c r="AG69" s="504"/>
      <c r="AH69" s="504"/>
      <c r="AI69" s="504"/>
      <c r="AJ69" s="504"/>
      <c r="AK69" s="504"/>
      <c r="AL69" s="504"/>
      <c r="AM69" s="504"/>
      <c r="AN69" s="504"/>
      <c r="AO69" s="504"/>
      <c r="AP69" s="504"/>
      <c r="AQ69" s="504"/>
      <c r="AR69" s="504"/>
      <c r="AS69" s="504"/>
      <c r="AT69" s="504"/>
      <c r="AU69" s="504"/>
      <c r="AV69" s="504"/>
      <c r="AW69" s="504"/>
      <c r="AX69" s="504"/>
      <c r="AY69" s="504"/>
      <c r="AZ69" s="171"/>
      <c r="BB69" s="501"/>
      <c r="BC69" s="501"/>
      <c r="BD69" s="501"/>
      <c r="BE69" s="501"/>
      <c r="BF69" s="501"/>
      <c r="BG69" s="501"/>
      <c r="BH69" s="501"/>
      <c r="BI69" s="501"/>
      <c r="BJ69" s="501"/>
      <c r="BK69" s="501"/>
      <c r="BL69" s="501"/>
      <c r="BM69" s="501"/>
      <c r="BN69" s="146"/>
    </row>
    <row r="70" spans="1:66" ht="6.75" customHeight="1">
      <c r="C70" s="181"/>
      <c r="D70" s="357"/>
      <c r="E70" s="357"/>
      <c r="F70" s="358"/>
      <c r="G70" s="358"/>
      <c r="H70" s="358"/>
      <c r="I70" s="358"/>
      <c r="J70" s="358"/>
      <c r="K70" s="358"/>
      <c r="L70" s="358"/>
      <c r="M70" s="358"/>
      <c r="N70" s="358"/>
      <c r="O70" s="358"/>
      <c r="P70" s="358"/>
      <c r="Q70" s="358"/>
      <c r="R70" s="358"/>
      <c r="S70" s="358"/>
      <c r="T70" s="358"/>
      <c r="U70" s="358"/>
      <c r="V70" s="358"/>
      <c r="W70" s="358"/>
      <c r="X70" s="358"/>
      <c r="Y70" s="358"/>
      <c r="Z70" s="358"/>
      <c r="AA70" s="358"/>
      <c r="AB70" s="358"/>
      <c r="AC70" s="358"/>
      <c r="AD70" s="358"/>
      <c r="AE70" s="358"/>
      <c r="AF70" s="358"/>
      <c r="AG70" s="358"/>
      <c r="AH70" s="358"/>
      <c r="AI70" s="358"/>
      <c r="AJ70" s="358"/>
      <c r="AK70" s="358"/>
      <c r="AL70" s="358"/>
      <c r="AM70" s="358"/>
      <c r="AN70" s="358"/>
      <c r="AO70" s="358"/>
      <c r="AP70" s="358"/>
      <c r="AQ70" s="358"/>
      <c r="AR70" s="358"/>
      <c r="AS70" s="358"/>
      <c r="AT70" s="358"/>
      <c r="AU70" s="358"/>
      <c r="AV70" s="358"/>
      <c r="AW70" s="358"/>
      <c r="AX70" s="358"/>
      <c r="AY70" s="358"/>
      <c r="AZ70" s="171"/>
      <c r="BB70" s="146"/>
      <c r="BC70" s="146"/>
      <c r="BD70" s="146"/>
      <c r="BE70" s="146"/>
      <c r="BF70" s="146"/>
      <c r="BG70" s="146"/>
      <c r="BH70" s="146"/>
      <c r="BI70" s="146"/>
      <c r="BJ70" s="146"/>
      <c r="BK70" s="146"/>
      <c r="BL70" s="146"/>
      <c r="BM70" s="146"/>
      <c r="BN70" s="146"/>
    </row>
    <row r="71" spans="1:66" ht="14.1" customHeight="1">
      <c r="B71" s="255" t="s">
        <v>166</v>
      </c>
      <c r="C71" s="181"/>
      <c r="D71" s="511" t="s">
        <v>62</v>
      </c>
      <c r="E71" s="511"/>
      <c r="F71" s="511"/>
      <c r="G71" s="511"/>
      <c r="H71" s="511"/>
      <c r="I71" s="511"/>
      <c r="J71" s="511"/>
      <c r="K71" s="511"/>
      <c r="L71" s="511"/>
      <c r="M71" s="511"/>
      <c r="N71" s="511"/>
      <c r="O71" s="511"/>
      <c r="P71" s="511"/>
      <c r="Q71" s="511"/>
      <c r="R71" s="511"/>
      <c r="S71" s="511"/>
      <c r="T71" s="511"/>
      <c r="U71" s="511"/>
      <c r="V71" s="511"/>
      <c r="W71" s="511"/>
      <c r="X71" s="511"/>
      <c r="Y71" s="511"/>
      <c r="Z71" s="511"/>
      <c r="AA71" s="511"/>
      <c r="AB71" s="511"/>
      <c r="AC71" s="511"/>
      <c r="AD71" s="511"/>
      <c r="AE71" s="511"/>
      <c r="AF71" s="511"/>
      <c r="AG71" s="511"/>
      <c r="AH71" s="511"/>
      <c r="AI71" s="511"/>
      <c r="AJ71" s="511"/>
      <c r="AK71" s="511"/>
      <c r="AL71" s="511"/>
      <c r="AM71" s="511"/>
      <c r="AN71" s="511"/>
      <c r="AO71" s="511"/>
      <c r="AP71" s="511"/>
      <c r="AQ71" s="511"/>
      <c r="AR71" s="511"/>
      <c r="AS71" s="511"/>
      <c r="AT71" s="511"/>
      <c r="AU71" s="511"/>
      <c r="AV71" s="511"/>
      <c r="AW71" s="511"/>
      <c r="AX71" s="511"/>
      <c r="AY71" s="511"/>
      <c r="AZ71" s="171"/>
      <c r="BB71" s="146"/>
      <c r="BC71" s="146"/>
      <c r="BD71" s="146"/>
      <c r="BE71" s="146"/>
      <c r="BF71" s="146"/>
      <c r="BG71" s="146"/>
      <c r="BH71" s="146"/>
      <c r="BI71" s="146"/>
      <c r="BJ71" s="146"/>
      <c r="BK71" s="146"/>
      <c r="BL71" s="146"/>
      <c r="BM71" s="146"/>
      <c r="BN71" s="146"/>
    </row>
    <row r="72" spans="1:66" ht="13.5" hidden="1" customHeight="1">
      <c r="B72" s="255" t="s">
        <v>166</v>
      </c>
      <c r="C72" s="181"/>
      <c r="D72" s="369" t="str">
        <f>IF(zamest=TRUE,"Tabuľka č. 3","Tabuľka č. 2")</f>
        <v>Tabuľka č. 3</v>
      </c>
      <c r="E72" s="369"/>
      <c r="F72" s="370"/>
      <c r="G72" s="370"/>
      <c r="H72" s="370"/>
      <c r="I72" s="370"/>
      <c r="J72" s="370"/>
      <c r="K72" s="370"/>
      <c r="L72" s="370"/>
      <c r="M72" s="370"/>
      <c r="N72" s="370"/>
      <c r="O72" s="370"/>
      <c r="P72" s="370"/>
      <c r="Q72" s="370"/>
      <c r="R72" s="370"/>
      <c r="S72" s="370"/>
      <c r="T72" s="370"/>
      <c r="U72" s="370"/>
      <c r="V72" s="370"/>
      <c r="W72" s="370"/>
      <c r="X72" s="370"/>
      <c r="Y72" s="370"/>
      <c r="Z72" s="370"/>
      <c r="AA72" s="370"/>
      <c r="AB72" s="370"/>
      <c r="AC72" s="370"/>
      <c r="AD72" s="370"/>
      <c r="AE72" s="370"/>
      <c r="AF72" s="370"/>
      <c r="AG72" s="370"/>
      <c r="AH72" s="370"/>
      <c r="AI72" s="370"/>
      <c r="AJ72" s="370"/>
      <c r="AK72" s="370"/>
      <c r="AL72" s="370"/>
      <c r="AM72" s="370"/>
      <c r="AN72" s="370"/>
      <c r="AO72" s="370"/>
      <c r="AP72" s="370"/>
      <c r="AQ72" s="370"/>
      <c r="AR72" s="370"/>
      <c r="AS72" s="370"/>
      <c r="AT72" s="370"/>
      <c r="AU72" s="370"/>
      <c r="AV72" s="370"/>
      <c r="AW72" s="370"/>
      <c r="AX72" s="370"/>
      <c r="AY72" s="370"/>
      <c r="AZ72" s="175"/>
      <c r="BB72" s="146"/>
      <c r="BC72" s="146"/>
      <c r="BD72" s="146"/>
      <c r="BE72" s="146"/>
      <c r="BF72" s="146"/>
      <c r="BG72" s="146"/>
      <c r="BH72" s="146"/>
      <c r="BI72" s="146"/>
      <c r="BJ72" s="146"/>
      <c r="BK72" s="146"/>
      <c r="BL72" s="146"/>
      <c r="BM72" s="146"/>
      <c r="BN72" s="146"/>
    </row>
    <row r="73" spans="1:66" ht="13.8">
      <c r="B73" s="255" t="s">
        <v>166</v>
      </c>
      <c r="C73" s="181"/>
      <c r="D73" s="508" t="s">
        <v>147</v>
      </c>
      <c r="E73" s="509"/>
      <c r="F73" s="509"/>
      <c r="G73" s="509"/>
      <c r="H73" s="509"/>
      <c r="I73" s="509"/>
      <c r="J73" s="509"/>
      <c r="K73" s="509"/>
      <c r="L73" s="509"/>
      <c r="M73" s="509"/>
      <c r="N73" s="509"/>
      <c r="O73" s="509"/>
      <c r="P73" s="509"/>
      <c r="Q73" s="509"/>
      <c r="R73" s="509"/>
      <c r="S73" s="509"/>
      <c r="T73" s="509"/>
      <c r="U73" s="509"/>
      <c r="V73" s="509"/>
      <c r="W73" s="509"/>
      <c r="X73" s="509"/>
      <c r="Y73" s="509"/>
      <c r="Z73" s="510"/>
      <c r="AA73" s="512" t="str">
        <f>IF(doba="určitá","jednorazové",IF(doba="neurčitá","bežné",""))</f>
        <v>jednorazové</v>
      </c>
      <c r="AB73" s="512"/>
      <c r="AC73" s="512"/>
      <c r="AD73" s="512"/>
      <c r="AE73" s="512"/>
      <c r="AF73" s="512"/>
      <c r="AG73" s="512"/>
      <c r="AH73" s="512"/>
      <c r="AI73" s="512"/>
      <c r="AJ73" s="512"/>
      <c r="AK73" s="512"/>
      <c r="AL73" s="512"/>
      <c r="AM73" s="512"/>
      <c r="AN73" s="512"/>
      <c r="AO73" s="512"/>
      <c r="AP73" s="512"/>
      <c r="AQ73" s="512"/>
      <c r="AR73" s="512"/>
      <c r="AS73" s="512"/>
      <c r="AT73" s="512"/>
      <c r="AU73" s="512"/>
      <c r="AV73" s="512"/>
      <c r="AW73" s="512"/>
      <c r="AX73" s="512"/>
      <c r="AY73" s="512"/>
      <c r="AZ73" s="171"/>
      <c r="BB73" s="146"/>
      <c r="BC73" s="146"/>
      <c r="BD73" s="146"/>
      <c r="BE73" s="146"/>
      <c r="BF73" s="146"/>
      <c r="BG73" s="146"/>
      <c r="BH73" s="146"/>
      <c r="BI73" s="146"/>
      <c r="BJ73" s="146"/>
      <c r="BK73" s="146"/>
      <c r="BL73" s="146"/>
      <c r="BM73" s="146"/>
      <c r="BN73" s="146"/>
    </row>
    <row r="74" spans="1:66" ht="13.8" hidden="1">
      <c r="B74" s="255" t="s">
        <v>166</v>
      </c>
      <c r="C74" s="181"/>
      <c r="D74" s="508" t="s">
        <v>148</v>
      </c>
      <c r="E74" s="509"/>
      <c r="F74" s="509"/>
      <c r="G74" s="509"/>
      <c r="H74" s="509"/>
      <c r="I74" s="509"/>
      <c r="J74" s="509"/>
      <c r="K74" s="509"/>
      <c r="L74" s="509"/>
      <c r="M74" s="509"/>
      <c r="N74" s="509"/>
      <c r="O74" s="509"/>
      <c r="P74" s="509"/>
      <c r="Q74" s="509"/>
      <c r="R74" s="509"/>
      <c r="S74" s="509"/>
      <c r="T74" s="509"/>
      <c r="U74" s="509"/>
      <c r="V74" s="509"/>
      <c r="W74" s="509"/>
      <c r="X74" s="509"/>
      <c r="Y74" s="509"/>
      <c r="Z74" s="510"/>
      <c r="AA74" s="512" t="str">
        <f>IF(Poistne!C6="určitá","určitá",IF(Poistne!C6="neurčitá","neurčitá",""))</f>
        <v>určitá</v>
      </c>
      <c r="AB74" s="512"/>
      <c r="AC74" s="512"/>
      <c r="AD74" s="512"/>
      <c r="AE74" s="512"/>
      <c r="AF74" s="512"/>
      <c r="AG74" s="512"/>
      <c r="AH74" s="512"/>
      <c r="AI74" s="512"/>
      <c r="AJ74" s="512"/>
      <c r="AK74" s="512"/>
      <c r="AL74" s="512"/>
      <c r="AM74" s="512"/>
      <c r="AN74" s="512"/>
      <c r="AO74" s="512"/>
      <c r="AP74" s="512"/>
      <c r="AQ74" s="512"/>
      <c r="AR74" s="512"/>
      <c r="AS74" s="512"/>
      <c r="AT74" s="512"/>
      <c r="AU74" s="512"/>
      <c r="AV74" s="512"/>
      <c r="AW74" s="512"/>
      <c r="AX74" s="512"/>
      <c r="AY74" s="512"/>
      <c r="AZ74" s="171"/>
      <c r="BB74" s="146"/>
      <c r="BC74" s="146"/>
      <c r="BD74" s="146"/>
      <c r="BE74" s="146"/>
      <c r="BF74" s="146"/>
      <c r="BG74" s="146"/>
      <c r="BH74" s="146"/>
      <c r="BI74" s="146"/>
      <c r="BJ74" s="146"/>
      <c r="BK74" s="146"/>
      <c r="BL74" s="146"/>
      <c r="BM74" s="146"/>
      <c r="BN74" s="146"/>
    </row>
    <row r="75" spans="1:66" ht="13.8">
      <c r="B75" s="255" t="s">
        <v>166</v>
      </c>
      <c r="C75" s="181"/>
      <c r="D75" s="508" t="str">
        <f>IF(doba="neurčitá","Prvé poistné obdobie",IF(doba="určitá","Doba trvania poistenia",""))</f>
        <v>Doba trvania poistenia</v>
      </c>
      <c r="E75" s="509"/>
      <c r="F75" s="509"/>
      <c r="G75" s="509"/>
      <c r="H75" s="509"/>
      <c r="I75" s="509"/>
      <c r="J75" s="509"/>
      <c r="K75" s="509"/>
      <c r="L75" s="509"/>
      <c r="M75" s="509"/>
      <c r="N75" s="509"/>
      <c r="O75" s="509"/>
      <c r="P75" s="509"/>
      <c r="Q75" s="509"/>
      <c r="R75" s="509"/>
      <c r="S75" s="509"/>
      <c r="T75" s="509"/>
      <c r="U75" s="509"/>
      <c r="V75" s="509"/>
      <c r="W75" s="509"/>
      <c r="X75" s="509"/>
      <c r="Y75" s="509"/>
      <c r="Z75" s="510"/>
      <c r="AA75" s="513" t="str">
        <f>IF(doba="neurčitá",CONCATENATE("od ",DAY(Poistne!C5),".",MONTH(Poistne!C5),".",YEAR(Poistne!C5)," do 31.8.",YEAR(Poistne!C8)),IF(doba="určitá",CONCATENATE("od ",DAY(Poistne!C5),".",MONTH(Poistne!C5),".",YEAR(Poistne!C5)," do ",DAY(Poistne!C7),".",MONTH(Poistne!C7),".",YEAR(Poistne!C7)),""))</f>
        <v>od 1.9.2022 do 31.8.2023</v>
      </c>
      <c r="AB75" s="513"/>
      <c r="AC75" s="513"/>
      <c r="AD75" s="513"/>
      <c r="AE75" s="513"/>
      <c r="AF75" s="513"/>
      <c r="AG75" s="513"/>
      <c r="AH75" s="513"/>
      <c r="AI75" s="513"/>
      <c r="AJ75" s="513"/>
      <c r="AK75" s="513"/>
      <c r="AL75" s="513"/>
      <c r="AM75" s="513"/>
      <c r="AN75" s="513"/>
      <c r="AO75" s="513"/>
      <c r="AP75" s="513"/>
      <c r="AQ75" s="513"/>
      <c r="AR75" s="513"/>
      <c r="AS75" s="513"/>
      <c r="AT75" s="513"/>
      <c r="AU75" s="513"/>
      <c r="AV75" s="513"/>
      <c r="AW75" s="513"/>
      <c r="AX75" s="513"/>
      <c r="AY75" s="513"/>
      <c r="AZ75" s="171"/>
      <c r="BB75" s="146"/>
      <c r="BC75" s="146"/>
      <c r="BD75" s="146"/>
      <c r="BE75" s="146"/>
      <c r="BF75" s="146"/>
      <c r="BG75" s="146"/>
      <c r="BH75" s="146"/>
      <c r="BI75" s="146"/>
      <c r="BJ75" s="146"/>
      <c r="BK75" s="146"/>
      <c r="BL75" s="146"/>
      <c r="BM75" s="146"/>
      <c r="BN75" s="146"/>
    </row>
    <row r="76" spans="1:66" ht="32.25" customHeight="1">
      <c r="B76" s="255" t="s">
        <v>166</v>
      </c>
      <c r="C76" s="181"/>
      <c r="D76" s="508" t="s">
        <v>149</v>
      </c>
      <c r="E76" s="509"/>
      <c r="F76" s="509"/>
      <c r="G76" s="509"/>
      <c r="H76" s="509"/>
      <c r="I76" s="509"/>
      <c r="J76" s="509"/>
      <c r="K76" s="509"/>
      <c r="L76" s="509"/>
      <c r="M76" s="509"/>
      <c r="N76" s="509"/>
      <c r="O76" s="509"/>
      <c r="P76" s="509"/>
      <c r="Q76" s="509"/>
      <c r="R76" s="509"/>
      <c r="S76" s="509"/>
      <c r="T76" s="509"/>
      <c r="U76" s="509"/>
      <c r="V76" s="509"/>
      <c r="W76" s="509"/>
      <c r="X76" s="509"/>
      <c r="Y76" s="509"/>
      <c r="Z76" s="510"/>
      <c r="AA76" s="514" t="s">
        <v>153</v>
      </c>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6"/>
      <c r="AZ76" s="171"/>
      <c r="BB76" s="146"/>
      <c r="BC76" s="146"/>
      <c r="BD76" s="146"/>
      <c r="BE76" s="146"/>
      <c r="BF76" s="146"/>
      <c r="BG76" s="146"/>
      <c r="BH76" s="146"/>
      <c r="BI76" s="146"/>
      <c r="BJ76" s="146"/>
      <c r="BK76" s="146"/>
      <c r="BL76" s="146"/>
      <c r="BM76" s="146"/>
      <c r="BN76" s="146"/>
    </row>
    <row r="77" spans="1:66" ht="13.8">
      <c r="B77" s="255" t="s">
        <v>166</v>
      </c>
      <c r="C77" s="181"/>
      <c r="D77" s="508" t="str">
        <f>IF(doba="neurčitá","Počet žiakov v prvom poistnom období",IF(doba="určitá","Počet žiakov",""))</f>
        <v>Počet žiakov</v>
      </c>
      <c r="E77" s="509"/>
      <c r="F77" s="509"/>
      <c r="G77" s="509"/>
      <c r="H77" s="509"/>
      <c r="I77" s="509"/>
      <c r="J77" s="509"/>
      <c r="K77" s="509"/>
      <c r="L77" s="509"/>
      <c r="M77" s="509"/>
      <c r="N77" s="509"/>
      <c r="O77" s="509"/>
      <c r="P77" s="509"/>
      <c r="Q77" s="509"/>
      <c r="R77" s="509"/>
      <c r="S77" s="509"/>
      <c r="T77" s="509"/>
      <c r="U77" s="509"/>
      <c r="V77" s="509"/>
      <c r="W77" s="509"/>
      <c r="X77" s="509"/>
      <c r="Y77" s="509"/>
      <c r="Z77" s="510"/>
      <c r="AA77" s="512" t="s">
        <v>152</v>
      </c>
      <c r="AB77" s="512"/>
      <c r="AC77" s="512"/>
      <c r="AD77" s="512"/>
      <c r="AE77" s="512"/>
      <c r="AF77" s="512"/>
      <c r="AG77" s="512"/>
      <c r="AH77" s="512"/>
      <c r="AI77" s="512"/>
      <c r="AJ77" s="512"/>
      <c r="AK77" s="512"/>
      <c r="AL77" s="512"/>
      <c r="AM77" s="512"/>
      <c r="AN77" s="512"/>
      <c r="AO77" s="512"/>
      <c r="AP77" s="512"/>
      <c r="AQ77" s="512"/>
      <c r="AR77" s="512"/>
      <c r="AS77" s="512"/>
      <c r="AT77" s="512"/>
      <c r="AU77" s="512"/>
      <c r="AV77" s="512"/>
      <c r="AW77" s="512"/>
      <c r="AX77" s="512"/>
      <c r="AY77" s="512"/>
      <c r="AZ77" s="171"/>
      <c r="BB77" s="146"/>
      <c r="BC77" s="146"/>
      <c r="BD77" s="146"/>
      <c r="BE77" s="146"/>
      <c r="BF77" s="146"/>
      <c r="BG77" s="146"/>
      <c r="BH77" s="146"/>
      <c r="BI77" s="146"/>
      <c r="BJ77" s="146"/>
      <c r="BK77" s="146"/>
      <c r="BL77" s="146"/>
      <c r="BM77" s="146"/>
      <c r="BN77" s="146"/>
    </row>
    <row r="78" spans="1:66" ht="18.600000000000001" customHeight="1">
      <c r="B78" s="255" t="s">
        <v>166</v>
      </c>
      <c r="C78" s="181"/>
      <c r="D78" s="508" t="str">
        <f>IF(doba="neurčitá","Počet zamestnancov v prvom poistnom období",IF(doba="určitá","Počet zamestnancov",""))</f>
        <v>Počet zamestnancov</v>
      </c>
      <c r="E78" s="509"/>
      <c r="F78" s="509"/>
      <c r="G78" s="509"/>
      <c r="H78" s="509"/>
      <c r="I78" s="509"/>
      <c r="J78" s="509"/>
      <c r="K78" s="509"/>
      <c r="L78" s="509"/>
      <c r="M78" s="509"/>
      <c r="N78" s="509"/>
      <c r="O78" s="509"/>
      <c r="P78" s="509"/>
      <c r="Q78" s="509"/>
      <c r="R78" s="509"/>
      <c r="S78" s="509"/>
      <c r="T78" s="509"/>
      <c r="U78" s="509"/>
      <c r="V78" s="509"/>
      <c r="W78" s="509"/>
      <c r="X78" s="509"/>
      <c r="Y78" s="509"/>
      <c r="Z78" s="510"/>
      <c r="AA78" s="512" t="s">
        <v>152</v>
      </c>
      <c r="AB78" s="512"/>
      <c r="AC78" s="512"/>
      <c r="AD78" s="512"/>
      <c r="AE78" s="512"/>
      <c r="AF78" s="512"/>
      <c r="AG78" s="512"/>
      <c r="AH78" s="512"/>
      <c r="AI78" s="512"/>
      <c r="AJ78" s="512"/>
      <c r="AK78" s="512"/>
      <c r="AL78" s="512"/>
      <c r="AM78" s="512"/>
      <c r="AN78" s="512"/>
      <c r="AO78" s="512"/>
      <c r="AP78" s="512"/>
      <c r="AQ78" s="512"/>
      <c r="AR78" s="512"/>
      <c r="AS78" s="512"/>
      <c r="AT78" s="512"/>
      <c r="AU78" s="512"/>
      <c r="AV78" s="512"/>
      <c r="AW78" s="512"/>
      <c r="AX78" s="512"/>
      <c r="AY78" s="512"/>
      <c r="AZ78" s="171"/>
      <c r="BB78" s="146"/>
      <c r="BC78" s="146"/>
      <c r="BD78" s="146"/>
      <c r="BE78" s="146"/>
      <c r="BF78" s="146"/>
      <c r="BG78" s="146"/>
      <c r="BH78" s="146"/>
      <c r="BI78" s="146"/>
      <c r="BJ78" s="146"/>
      <c r="BK78" s="146"/>
      <c r="BL78" s="146"/>
      <c r="BM78" s="146"/>
      <c r="BN78" s="146"/>
    </row>
    <row r="79" spans="1:66" ht="26.4" customHeight="1">
      <c r="B79" s="255" t="s">
        <v>166</v>
      </c>
      <c r="C79" s="181"/>
      <c r="D79" s="508" t="str">
        <f>IF(doba="neurčitá","Poistné s daňou pre žiaka za prvé poistné obdobie",IF(doba="určitá","Poistné s daňou pre žiaka za dobu trvania poistenia",""))</f>
        <v>Poistné s daňou pre žiaka za dobu trvania poistenia</v>
      </c>
      <c r="E79" s="509"/>
      <c r="F79" s="509"/>
      <c r="G79" s="509"/>
      <c r="H79" s="509"/>
      <c r="I79" s="509"/>
      <c r="J79" s="509"/>
      <c r="K79" s="509"/>
      <c r="L79" s="509"/>
      <c r="M79" s="509"/>
      <c r="N79" s="509"/>
      <c r="O79" s="509"/>
      <c r="P79" s="509"/>
      <c r="Q79" s="509"/>
      <c r="R79" s="509"/>
      <c r="S79" s="509"/>
      <c r="T79" s="509"/>
      <c r="U79" s="509"/>
      <c r="V79" s="509"/>
      <c r="W79" s="509"/>
      <c r="X79" s="509"/>
      <c r="Y79" s="509"/>
      <c r="Z79" s="510"/>
      <c r="AA79" s="506" t="str">
        <f ca="1">IF(AND(test1="O.K.",test2="O.K."),IF(Poistne!E39=TRUE,Poistne!R22,Poistne!Q22),"?")</f>
        <v>?</v>
      </c>
      <c r="AB79" s="506"/>
      <c r="AC79" s="506"/>
      <c r="AD79" s="506"/>
      <c r="AE79" s="506"/>
      <c r="AF79" s="506"/>
      <c r="AG79" s="506"/>
      <c r="AH79" s="506"/>
      <c r="AI79" s="506"/>
      <c r="AJ79" s="506"/>
      <c r="AK79" s="506"/>
      <c r="AL79" s="506"/>
      <c r="AM79" s="506"/>
      <c r="AN79" s="506"/>
      <c r="AO79" s="506"/>
      <c r="AP79" s="506"/>
      <c r="AQ79" s="506"/>
      <c r="AR79" s="506"/>
      <c r="AS79" s="506"/>
      <c r="AT79" s="506"/>
      <c r="AU79" s="506"/>
      <c r="AV79" s="506"/>
      <c r="AW79" s="506"/>
      <c r="AX79" s="506"/>
      <c r="AY79" s="506"/>
      <c r="AZ79" s="171"/>
      <c r="BB79" s="186"/>
      <c r="BC79" s="146"/>
      <c r="BD79" s="146"/>
      <c r="BE79" s="146"/>
      <c r="BF79" s="146"/>
      <c r="BG79" s="146"/>
      <c r="BH79" s="146"/>
      <c r="BI79" s="146"/>
      <c r="BJ79" s="146"/>
      <c r="BK79" s="146"/>
      <c r="BL79" s="146"/>
      <c r="BM79" s="146"/>
      <c r="BN79" s="146"/>
    </row>
    <row r="80" spans="1:66" ht="33" customHeight="1">
      <c r="B80" s="255" t="s">
        <v>166</v>
      </c>
      <c r="C80" s="181"/>
      <c r="D80" s="508" t="str">
        <f>IF(doba="neurčitá","Poistné s daňou pre zamestnanca za prvé poistné obdobie",IF(doba="určitá","Poistné s daňou pre zamestnanca za dobu trvania poistenia",""))</f>
        <v>Poistné s daňou pre zamestnanca za dobu trvania poistenia</v>
      </c>
      <c r="E80" s="509"/>
      <c r="F80" s="509"/>
      <c r="G80" s="509"/>
      <c r="H80" s="509"/>
      <c r="I80" s="509"/>
      <c r="J80" s="509"/>
      <c r="K80" s="509"/>
      <c r="L80" s="509"/>
      <c r="M80" s="509"/>
      <c r="N80" s="509"/>
      <c r="O80" s="509"/>
      <c r="P80" s="509"/>
      <c r="Q80" s="509"/>
      <c r="R80" s="509"/>
      <c r="S80" s="509"/>
      <c r="T80" s="509"/>
      <c r="U80" s="509"/>
      <c r="V80" s="509"/>
      <c r="W80" s="509"/>
      <c r="X80" s="509"/>
      <c r="Y80" s="509"/>
      <c r="Z80" s="510"/>
      <c r="AA80" s="506" t="str">
        <f ca="1">IF(AND(test1="O.K.",test2="O.K.",zamest=TRUE),IF(Poistne!E39=TRUE,Poistne!R32,Poistne!Q32),"?")</f>
        <v>?</v>
      </c>
      <c r="AB80" s="506"/>
      <c r="AC80" s="506"/>
      <c r="AD80" s="506"/>
      <c r="AE80" s="506"/>
      <c r="AF80" s="506"/>
      <c r="AG80" s="506"/>
      <c r="AH80" s="506"/>
      <c r="AI80" s="506"/>
      <c r="AJ80" s="506"/>
      <c r="AK80" s="506"/>
      <c r="AL80" s="506"/>
      <c r="AM80" s="506"/>
      <c r="AN80" s="506"/>
      <c r="AO80" s="506"/>
      <c r="AP80" s="506"/>
      <c r="AQ80" s="506"/>
      <c r="AR80" s="506"/>
      <c r="AS80" s="506"/>
      <c r="AT80" s="506"/>
      <c r="AU80" s="506"/>
      <c r="AV80" s="506"/>
      <c r="AW80" s="506"/>
      <c r="AX80" s="506"/>
      <c r="AY80" s="506"/>
      <c r="AZ80" s="171"/>
      <c r="BB80" s="186"/>
      <c r="BC80" s="146"/>
      <c r="BD80" s="146"/>
      <c r="BE80" s="146"/>
      <c r="BF80" s="146"/>
      <c r="BG80" s="146"/>
      <c r="BH80" s="146"/>
      <c r="BI80" s="146"/>
      <c r="BJ80" s="146"/>
      <c r="BK80" s="146"/>
      <c r="BL80" s="146"/>
      <c r="BM80" s="146"/>
      <c r="BN80" s="146"/>
    </row>
    <row r="81" spans="2:98" ht="45.6" customHeight="1">
      <c r="B81" s="255" t="s">
        <v>166</v>
      </c>
      <c r="C81" s="181"/>
      <c r="D81" s="508" t="str">
        <f>IF(doba="neurčitá","Poistné s daňou v prvom poistnom období za všetkých poistených spolu",IF(doba="určitá","Poistné s daňou za dobu trvania poistenia za všetkých poistených spolu",""))</f>
        <v>Poistné s daňou za dobu trvania poistenia za všetkých poistených spolu</v>
      </c>
      <c r="E81" s="509"/>
      <c r="F81" s="509"/>
      <c r="G81" s="509"/>
      <c r="H81" s="509"/>
      <c r="I81" s="509"/>
      <c r="J81" s="509"/>
      <c r="K81" s="509"/>
      <c r="L81" s="509"/>
      <c r="M81" s="509"/>
      <c r="N81" s="509"/>
      <c r="O81" s="509"/>
      <c r="P81" s="509"/>
      <c r="Q81" s="509"/>
      <c r="R81" s="509"/>
      <c r="S81" s="509"/>
      <c r="T81" s="509"/>
      <c r="U81" s="509"/>
      <c r="V81" s="509"/>
      <c r="W81" s="509"/>
      <c r="X81" s="509"/>
      <c r="Y81" s="509"/>
      <c r="Z81" s="510"/>
      <c r="AA81" s="505" t="str">
        <f>IF(doba="neurčitá","uvedené v Prílohe č. 1 (vypočítané ako násobok príslušného poistného za prvé poistné obdobie a počtu poistených, uvedených v Prílohe č. 1",IF(doba="určitá","uvedené v Prílohe č. 1 (vypočítané ako násobok príslušného poistného za dobu trvania poistenia a počtu poistených, uvedených v Prílohe č. 1",""))</f>
        <v>uvedené v Prílohe č. 1 (vypočítané ako násobok príslušného poistného za dobu trvania poistenia a počtu poistených, uvedených v Prílohe č. 1</v>
      </c>
      <c r="AB81" s="505"/>
      <c r="AC81" s="505"/>
      <c r="AD81" s="505"/>
      <c r="AE81" s="505"/>
      <c r="AF81" s="505"/>
      <c r="AG81" s="505"/>
      <c r="AH81" s="505"/>
      <c r="AI81" s="505"/>
      <c r="AJ81" s="505"/>
      <c r="AK81" s="505"/>
      <c r="AL81" s="505"/>
      <c r="AM81" s="505"/>
      <c r="AN81" s="505"/>
      <c r="AO81" s="505"/>
      <c r="AP81" s="505"/>
      <c r="AQ81" s="505"/>
      <c r="AR81" s="505"/>
      <c r="AS81" s="505"/>
      <c r="AT81" s="505"/>
      <c r="AU81" s="505"/>
      <c r="AV81" s="505"/>
      <c r="AW81" s="505"/>
      <c r="AX81" s="505"/>
      <c r="AY81" s="505"/>
      <c r="AZ81" s="171"/>
      <c r="BB81" s="186"/>
      <c r="BC81" s="146"/>
      <c r="BD81" s="146"/>
      <c r="BE81" s="146"/>
      <c r="BF81" s="146"/>
      <c r="BG81" s="146"/>
      <c r="BH81" s="146"/>
      <c r="BI81" s="146"/>
      <c r="BJ81" s="146"/>
      <c r="BK81" s="146"/>
      <c r="BL81" s="146"/>
      <c r="BM81" s="146"/>
      <c r="BN81" s="146"/>
    </row>
    <row r="82" spans="2:98" ht="30.6" hidden="1" customHeight="1">
      <c r="B82" s="255" t="s">
        <v>166</v>
      </c>
      <c r="C82" s="181"/>
      <c r="D82" s="508" t="s">
        <v>311</v>
      </c>
      <c r="E82" s="509"/>
      <c r="F82" s="509"/>
      <c r="G82" s="509"/>
      <c r="H82" s="509"/>
      <c r="I82" s="509"/>
      <c r="J82" s="509"/>
      <c r="K82" s="509"/>
      <c r="L82" s="509"/>
      <c r="M82" s="509"/>
      <c r="N82" s="509"/>
      <c r="O82" s="509"/>
      <c r="P82" s="509"/>
      <c r="Q82" s="509"/>
      <c r="R82" s="509"/>
      <c r="S82" s="509"/>
      <c r="T82" s="509"/>
      <c r="U82" s="509"/>
      <c r="V82" s="509"/>
      <c r="W82" s="509"/>
      <c r="X82" s="509"/>
      <c r="Y82" s="509"/>
      <c r="Z82" s="510"/>
      <c r="AA82" s="506" t="str">
        <f ca="1">IF(AND(test1="O.K.",test2="O.K."),Ponuka!F23,"?")</f>
        <v>?</v>
      </c>
      <c r="AB82" s="506"/>
      <c r="AC82" s="506"/>
      <c r="AD82" s="506"/>
      <c r="AE82" s="506"/>
      <c r="AF82" s="506"/>
      <c r="AG82" s="506"/>
      <c r="AH82" s="506"/>
      <c r="AI82" s="506"/>
      <c r="AJ82" s="506"/>
      <c r="AK82" s="506"/>
      <c r="AL82" s="506"/>
      <c r="AM82" s="506"/>
      <c r="AN82" s="506"/>
      <c r="AO82" s="506"/>
      <c r="AP82" s="506"/>
      <c r="AQ82" s="506"/>
      <c r="AR82" s="506"/>
      <c r="AS82" s="506"/>
      <c r="AT82" s="506"/>
      <c r="AU82" s="506"/>
      <c r="AV82" s="506"/>
      <c r="AW82" s="506"/>
      <c r="AX82" s="506"/>
      <c r="AY82" s="506"/>
      <c r="AZ82" s="171"/>
      <c r="BB82" s="186"/>
      <c r="BC82" s="146"/>
      <c r="BD82" s="146"/>
      <c r="BE82" s="146"/>
      <c r="BF82" s="146"/>
      <c r="BG82" s="146"/>
      <c r="BH82" s="146"/>
      <c r="BI82" s="146"/>
      <c r="BJ82" s="146"/>
      <c r="BK82" s="146"/>
      <c r="BL82" s="146"/>
      <c r="BM82" s="146"/>
      <c r="BN82" s="146"/>
    </row>
    <row r="83" spans="2:98" ht="28.2" hidden="1" customHeight="1">
      <c r="B83" s="255" t="s">
        <v>166</v>
      </c>
      <c r="C83" s="181"/>
      <c r="D83" s="508" t="s">
        <v>312</v>
      </c>
      <c r="E83" s="509"/>
      <c r="F83" s="509"/>
      <c r="G83" s="509"/>
      <c r="H83" s="509"/>
      <c r="I83" s="509"/>
      <c r="J83" s="509"/>
      <c r="K83" s="509"/>
      <c r="L83" s="509"/>
      <c r="M83" s="509"/>
      <c r="N83" s="509"/>
      <c r="O83" s="509"/>
      <c r="P83" s="509"/>
      <c r="Q83" s="509"/>
      <c r="R83" s="509"/>
      <c r="S83" s="509"/>
      <c r="T83" s="509"/>
      <c r="U83" s="509"/>
      <c r="V83" s="509"/>
      <c r="W83" s="509"/>
      <c r="X83" s="509"/>
      <c r="Y83" s="509"/>
      <c r="Z83" s="510"/>
      <c r="AA83" s="506" t="str">
        <f ca="1">IF(AND(test1="O.K.",test2="O.K.",zamest=TRUE),Ponuka!F32,"?")</f>
        <v>?</v>
      </c>
      <c r="AB83" s="506"/>
      <c r="AC83" s="506"/>
      <c r="AD83" s="506"/>
      <c r="AE83" s="506"/>
      <c r="AF83" s="506"/>
      <c r="AG83" s="506"/>
      <c r="AH83" s="506"/>
      <c r="AI83" s="506"/>
      <c r="AJ83" s="506"/>
      <c r="AK83" s="506"/>
      <c r="AL83" s="506"/>
      <c r="AM83" s="506"/>
      <c r="AN83" s="506"/>
      <c r="AO83" s="506"/>
      <c r="AP83" s="506"/>
      <c r="AQ83" s="506"/>
      <c r="AR83" s="506"/>
      <c r="AS83" s="506"/>
      <c r="AT83" s="506"/>
      <c r="AU83" s="506"/>
      <c r="AV83" s="506"/>
      <c r="AW83" s="506"/>
      <c r="AX83" s="506"/>
      <c r="AY83" s="506"/>
      <c r="AZ83" s="171"/>
      <c r="BB83" s="186"/>
      <c r="BC83" s="146"/>
      <c r="BD83" s="146"/>
      <c r="BE83" s="146"/>
      <c r="BF83" s="146"/>
      <c r="BG83" s="146"/>
      <c r="BH83" s="146"/>
      <c r="BI83" s="146"/>
      <c r="BJ83" s="146"/>
      <c r="BK83" s="146"/>
      <c r="BL83" s="146"/>
      <c r="BM83" s="146"/>
      <c r="BN83" s="146"/>
    </row>
    <row r="84" spans="2:98" ht="45" hidden="1" customHeight="1">
      <c r="B84" s="255" t="s">
        <v>166</v>
      </c>
      <c r="C84" s="181"/>
      <c r="D84" s="508" t="s">
        <v>310</v>
      </c>
      <c r="E84" s="509"/>
      <c r="F84" s="509"/>
      <c r="G84" s="509"/>
      <c r="H84" s="509"/>
      <c r="I84" s="509"/>
      <c r="J84" s="509"/>
      <c r="K84" s="509"/>
      <c r="L84" s="509"/>
      <c r="M84" s="509"/>
      <c r="N84" s="509"/>
      <c r="O84" s="509"/>
      <c r="P84" s="509"/>
      <c r="Q84" s="509"/>
      <c r="R84" s="509"/>
      <c r="S84" s="509"/>
      <c r="T84" s="509"/>
      <c r="U84" s="509"/>
      <c r="V84" s="509"/>
      <c r="W84" s="509"/>
      <c r="X84" s="509"/>
      <c r="Y84" s="509"/>
      <c r="Z84" s="510"/>
      <c r="AA84" s="505" t="str">
        <f>IF(zamest=TRUE,CONCATENATE("násobok príslušného ročného poistného uvedeného v tabuľke č.1, resp. tabuľke č. 2 a skutočného počtu poistených"),CONCATENATE("násobok príslušného ročného poistného uvedeného v tabuľke č.1 a skutočného počtu poistených"))</f>
        <v>násobok príslušného ročného poistného uvedeného v tabuľke č.1, resp. tabuľke č. 2 a skutočného počtu poistených</v>
      </c>
      <c r="AB84" s="505"/>
      <c r="AC84" s="505"/>
      <c r="AD84" s="505"/>
      <c r="AE84" s="505"/>
      <c r="AF84" s="505"/>
      <c r="AG84" s="505"/>
      <c r="AH84" s="505"/>
      <c r="AI84" s="505"/>
      <c r="AJ84" s="505"/>
      <c r="AK84" s="505"/>
      <c r="AL84" s="505"/>
      <c r="AM84" s="505"/>
      <c r="AN84" s="505"/>
      <c r="AO84" s="505"/>
      <c r="AP84" s="505"/>
      <c r="AQ84" s="505"/>
      <c r="AR84" s="505"/>
      <c r="AS84" s="505"/>
      <c r="AT84" s="505"/>
      <c r="AU84" s="505"/>
      <c r="AV84" s="505"/>
      <c r="AW84" s="505"/>
      <c r="AX84" s="505"/>
      <c r="AY84" s="505"/>
      <c r="AZ84" s="171"/>
      <c r="BB84" s="186"/>
      <c r="BC84" s="146"/>
      <c r="BD84" s="146"/>
      <c r="BE84" s="146"/>
      <c r="BF84" s="146"/>
      <c r="BG84" s="146"/>
      <c r="BH84" s="146"/>
      <c r="BI84" s="146"/>
      <c r="BJ84" s="146"/>
      <c r="BK84" s="146"/>
      <c r="BL84" s="146"/>
      <c r="BM84" s="146"/>
      <c r="BN84" s="146"/>
    </row>
    <row r="85" spans="2:98" ht="31.2" customHeight="1">
      <c r="B85" s="255" t="s">
        <v>166</v>
      </c>
      <c r="C85" s="181"/>
      <c r="D85" s="508" t="str">
        <f>IF(doba="neurčitá","Dátum splatnosti poistného s daňou za prvé poistné obdobie",IF(doba="určitá","Dátum splatnosti poistného s daňou",""))</f>
        <v>Dátum splatnosti poistného s daňou</v>
      </c>
      <c r="E85" s="509"/>
      <c r="F85" s="509"/>
      <c r="G85" s="509"/>
      <c r="H85" s="509"/>
      <c r="I85" s="509"/>
      <c r="J85" s="509"/>
      <c r="K85" s="509"/>
      <c r="L85" s="509"/>
      <c r="M85" s="509"/>
      <c r="N85" s="509"/>
      <c r="O85" s="509"/>
      <c r="P85" s="509"/>
      <c r="Q85" s="509"/>
      <c r="R85" s="509"/>
      <c r="S85" s="509"/>
      <c r="T85" s="509"/>
      <c r="U85" s="509"/>
      <c r="V85" s="509"/>
      <c r="W85" s="509"/>
      <c r="X85" s="509"/>
      <c r="Y85" s="509"/>
      <c r="Z85" s="510"/>
      <c r="AA85" s="505" t="str">
        <f>IF(doba="neurčitá",CONCATENATE(DAY(Poistne!C5),".",MONTH(Poistne!C5),".",YEAR(Poistne!C5)),IF(doba="určitá",CONCATENATE(DAY(Poistne!C5),".",MONTH(Poistne!C5),".",YEAR(Poistne!C5)),""))</f>
        <v>1.9.2022</v>
      </c>
      <c r="AB85" s="505"/>
      <c r="AC85" s="505"/>
      <c r="AD85" s="505"/>
      <c r="AE85" s="505"/>
      <c r="AF85" s="505"/>
      <c r="AG85" s="505"/>
      <c r="AH85" s="505"/>
      <c r="AI85" s="505"/>
      <c r="AJ85" s="505"/>
      <c r="AK85" s="505"/>
      <c r="AL85" s="505"/>
      <c r="AM85" s="505"/>
      <c r="AN85" s="505"/>
      <c r="AO85" s="505"/>
      <c r="AP85" s="505"/>
      <c r="AQ85" s="505"/>
      <c r="AR85" s="505"/>
      <c r="AS85" s="505"/>
      <c r="AT85" s="505"/>
      <c r="AU85" s="505"/>
      <c r="AV85" s="505"/>
      <c r="AW85" s="505"/>
      <c r="AX85" s="505"/>
      <c r="AY85" s="505"/>
      <c r="AZ85" s="171"/>
      <c r="BB85" s="186"/>
      <c r="BC85" s="146"/>
      <c r="BD85" s="146"/>
      <c r="BE85" s="146"/>
      <c r="BF85" s="146"/>
      <c r="BG85" s="146"/>
      <c r="BH85" s="146"/>
      <c r="BI85" s="146"/>
      <c r="BJ85" s="146"/>
      <c r="BK85" s="146"/>
      <c r="BL85" s="146"/>
      <c r="BM85" s="146"/>
      <c r="BN85" s="146"/>
    </row>
    <row r="86" spans="2:98" ht="26.4" hidden="1" customHeight="1">
      <c r="B86" s="255" t="s">
        <v>166</v>
      </c>
      <c r="C86" s="181"/>
      <c r="D86" s="508" t="s">
        <v>280</v>
      </c>
      <c r="E86" s="509"/>
      <c r="F86" s="509"/>
      <c r="G86" s="509"/>
      <c r="H86" s="509"/>
      <c r="I86" s="509"/>
      <c r="J86" s="509"/>
      <c r="K86" s="509"/>
      <c r="L86" s="509"/>
      <c r="M86" s="509"/>
      <c r="N86" s="509"/>
      <c r="O86" s="509"/>
      <c r="P86" s="509"/>
      <c r="Q86" s="509"/>
      <c r="R86" s="509"/>
      <c r="S86" s="509"/>
      <c r="T86" s="509"/>
      <c r="U86" s="509"/>
      <c r="V86" s="509"/>
      <c r="W86" s="509"/>
      <c r="X86" s="509"/>
      <c r="Y86" s="509"/>
      <c r="Z86" s="510"/>
      <c r="AA86" s="505" t="s">
        <v>155</v>
      </c>
      <c r="AB86" s="505"/>
      <c r="AC86" s="505"/>
      <c r="AD86" s="505"/>
      <c r="AE86" s="505"/>
      <c r="AF86" s="505"/>
      <c r="AG86" s="505"/>
      <c r="AH86" s="505"/>
      <c r="AI86" s="505"/>
      <c r="AJ86" s="505"/>
      <c r="AK86" s="505"/>
      <c r="AL86" s="505"/>
      <c r="AM86" s="505"/>
      <c r="AN86" s="505"/>
      <c r="AO86" s="505"/>
      <c r="AP86" s="505"/>
      <c r="AQ86" s="505"/>
      <c r="AR86" s="505"/>
      <c r="AS86" s="505"/>
      <c r="AT86" s="505"/>
      <c r="AU86" s="505"/>
      <c r="AV86" s="505"/>
      <c r="AW86" s="505"/>
      <c r="AX86" s="505"/>
      <c r="AY86" s="505"/>
      <c r="AZ86" s="171"/>
      <c r="BB86" s="186"/>
      <c r="BC86" s="146"/>
      <c r="BD86" s="146"/>
      <c r="BE86" s="146"/>
      <c r="BF86" s="146"/>
      <c r="BG86" s="146"/>
      <c r="BH86" s="146"/>
      <c r="BI86" s="146"/>
      <c r="BJ86" s="146"/>
      <c r="BK86" s="146"/>
      <c r="BL86" s="146"/>
      <c r="BM86" s="146"/>
      <c r="BN86" s="146"/>
    </row>
    <row r="87" spans="2:98" ht="13.8">
      <c r="B87" s="255" t="s">
        <v>166</v>
      </c>
      <c r="C87" s="181"/>
      <c r="D87" s="508" t="s">
        <v>225</v>
      </c>
      <c r="E87" s="509"/>
      <c r="F87" s="509"/>
      <c r="G87" s="509"/>
      <c r="H87" s="509"/>
      <c r="I87" s="509"/>
      <c r="J87" s="509"/>
      <c r="K87" s="509"/>
      <c r="L87" s="509"/>
      <c r="M87" s="509"/>
      <c r="N87" s="509"/>
      <c r="O87" s="509"/>
      <c r="P87" s="509"/>
      <c r="Q87" s="509"/>
      <c r="R87" s="509"/>
      <c r="S87" s="509"/>
      <c r="T87" s="509"/>
      <c r="U87" s="509"/>
      <c r="V87" s="509"/>
      <c r="W87" s="509"/>
      <c r="X87" s="509"/>
      <c r="Y87" s="509"/>
      <c r="Z87" s="510"/>
      <c r="AA87" s="507" t="str">
        <f ca="1">IF(AND(test1="O.K.",test2="O.K."),IF(avizo="elektronické avízo","elektronické avízo (bez poukážky)",IF(avizo="poštová poukážka","poštová poukážka",IF(avizo="bez avíza (trvalý príkaz)","bez avíza (trvalý príkaz)",""))),"?")</f>
        <v>?</v>
      </c>
      <c r="AB87" s="507"/>
      <c r="AC87" s="507"/>
      <c r="AD87" s="507"/>
      <c r="AE87" s="507"/>
      <c r="AF87" s="507"/>
      <c r="AG87" s="507"/>
      <c r="AH87" s="507"/>
      <c r="AI87" s="507"/>
      <c r="AJ87" s="507"/>
      <c r="AK87" s="507"/>
      <c r="AL87" s="507"/>
      <c r="AM87" s="507"/>
      <c r="AN87" s="507"/>
      <c r="AO87" s="507"/>
      <c r="AP87" s="507"/>
      <c r="AQ87" s="507"/>
      <c r="AR87" s="507"/>
      <c r="AS87" s="507"/>
      <c r="AT87" s="507"/>
      <c r="AU87" s="507"/>
      <c r="AV87" s="507"/>
      <c r="AW87" s="507"/>
      <c r="AX87" s="507"/>
      <c r="AY87" s="507"/>
      <c r="AZ87" s="171"/>
      <c r="BB87" s="146"/>
      <c r="BC87" s="146"/>
      <c r="BD87" s="146"/>
      <c r="BE87" s="146"/>
      <c r="BF87" s="146"/>
      <c r="BG87" s="146"/>
      <c r="BH87" s="146"/>
      <c r="BI87" s="146"/>
      <c r="BJ87" s="146"/>
      <c r="BK87" s="146"/>
      <c r="BL87" s="146"/>
      <c r="BM87" s="146"/>
      <c r="BN87" s="146"/>
    </row>
    <row r="88" spans="2:98" ht="60.75" customHeight="1">
      <c r="B88" s="255" t="s">
        <v>166</v>
      </c>
      <c r="C88" s="181"/>
      <c r="D88" s="508" t="s">
        <v>150</v>
      </c>
      <c r="E88" s="509"/>
      <c r="F88" s="509"/>
      <c r="G88" s="509"/>
      <c r="H88" s="509"/>
      <c r="I88" s="509"/>
      <c r="J88" s="509"/>
      <c r="K88" s="509"/>
      <c r="L88" s="509"/>
      <c r="M88" s="509"/>
      <c r="N88" s="509"/>
      <c r="O88" s="509"/>
      <c r="P88" s="509"/>
      <c r="Q88" s="509"/>
      <c r="R88" s="509"/>
      <c r="S88" s="509"/>
      <c r="T88" s="509"/>
      <c r="U88" s="509"/>
      <c r="V88" s="509"/>
      <c r="W88" s="509"/>
      <c r="X88" s="509"/>
      <c r="Y88" s="509"/>
      <c r="Z88" s="510"/>
      <c r="AA88" s="505" t="s">
        <v>154</v>
      </c>
      <c r="AB88" s="505"/>
      <c r="AC88" s="505"/>
      <c r="AD88" s="505"/>
      <c r="AE88" s="505"/>
      <c r="AF88" s="505"/>
      <c r="AG88" s="505"/>
      <c r="AH88" s="505"/>
      <c r="AI88" s="505"/>
      <c r="AJ88" s="505"/>
      <c r="AK88" s="505"/>
      <c r="AL88" s="505"/>
      <c r="AM88" s="505"/>
      <c r="AN88" s="505"/>
      <c r="AO88" s="505"/>
      <c r="AP88" s="505"/>
      <c r="AQ88" s="505"/>
      <c r="AR88" s="505"/>
      <c r="AS88" s="505"/>
      <c r="AT88" s="505"/>
      <c r="AU88" s="505"/>
      <c r="AV88" s="505"/>
      <c r="AW88" s="505"/>
      <c r="AX88" s="505"/>
      <c r="AY88" s="505"/>
      <c r="AZ88" s="171"/>
      <c r="BB88" s="146"/>
      <c r="BC88" s="146"/>
      <c r="BD88" s="146"/>
      <c r="BE88" s="146"/>
      <c r="BF88" s="146"/>
      <c r="BG88" s="146"/>
      <c r="BH88" s="146"/>
      <c r="BI88" s="146"/>
      <c r="BJ88" s="146"/>
      <c r="BK88" s="146"/>
      <c r="BL88" s="146"/>
      <c r="BM88" s="146"/>
      <c r="BN88" s="146"/>
    </row>
    <row r="89" spans="2:98" ht="13.8">
      <c r="B89" s="255" t="s">
        <v>166</v>
      </c>
      <c r="C89" s="181"/>
      <c r="D89" s="508" t="s">
        <v>151</v>
      </c>
      <c r="E89" s="509"/>
      <c r="F89" s="509"/>
      <c r="G89" s="509"/>
      <c r="H89" s="509"/>
      <c r="I89" s="509"/>
      <c r="J89" s="509"/>
      <c r="K89" s="509"/>
      <c r="L89" s="509"/>
      <c r="M89" s="509"/>
      <c r="N89" s="509"/>
      <c r="O89" s="509"/>
      <c r="P89" s="509"/>
      <c r="Q89" s="509"/>
      <c r="R89" s="509"/>
      <c r="S89" s="509"/>
      <c r="T89" s="509"/>
      <c r="U89" s="509"/>
      <c r="V89" s="509"/>
      <c r="W89" s="509"/>
      <c r="X89" s="509"/>
      <c r="Y89" s="509"/>
      <c r="Z89" s="510"/>
      <c r="AA89" s="505" t="str">
        <f ca="1">IF(AND(test1= "O.K.",test2="O.K."),REPLACE(vstupne_udaje!D4,3,1,""),"?")</f>
        <v>?</v>
      </c>
      <c r="AB89" s="505"/>
      <c r="AC89" s="505"/>
      <c r="AD89" s="505"/>
      <c r="AE89" s="505"/>
      <c r="AF89" s="505"/>
      <c r="AG89" s="505"/>
      <c r="AH89" s="505"/>
      <c r="AI89" s="505"/>
      <c r="AJ89" s="505"/>
      <c r="AK89" s="505"/>
      <c r="AL89" s="505"/>
      <c r="AM89" s="505"/>
      <c r="AN89" s="505"/>
      <c r="AO89" s="505"/>
      <c r="AP89" s="505"/>
      <c r="AQ89" s="505"/>
      <c r="AR89" s="505"/>
      <c r="AS89" s="505"/>
      <c r="AT89" s="505"/>
      <c r="AU89" s="505"/>
      <c r="AV89" s="505"/>
      <c r="AW89" s="505"/>
      <c r="AX89" s="505"/>
      <c r="AY89" s="505"/>
      <c r="AZ89" s="171"/>
      <c r="BB89" s="146"/>
      <c r="BC89" s="146"/>
      <c r="BD89" s="146"/>
      <c r="BE89" s="146"/>
      <c r="BF89" s="146"/>
      <c r="BG89" s="146"/>
      <c r="BH89" s="146"/>
      <c r="BI89" s="146"/>
      <c r="BJ89" s="146"/>
      <c r="BK89" s="146"/>
      <c r="BL89" s="146"/>
      <c r="BM89" s="146"/>
      <c r="BN89" s="146"/>
    </row>
    <row r="90" spans="2:98" ht="6" customHeight="1">
      <c r="B90" s="255" t="s">
        <v>166</v>
      </c>
      <c r="C90" s="181"/>
      <c r="D90" s="371"/>
      <c r="E90" s="371"/>
      <c r="F90" s="371"/>
      <c r="G90" s="371"/>
      <c r="H90" s="371"/>
      <c r="I90" s="371"/>
      <c r="J90" s="371"/>
      <c r="K90" s="371"/>
      <c r="L90" s="371"/>
      <c r="M90" s="371"/>
      <c r="N90" s="371"/>
      <c r="O90" s="371"/>
      <c r="P90" s="372"/>
      <c r="Q90" s="372"/>
      <c r="R90" s="372"/>
      <c r="S90" s="372"/>
      <c r="T90" s="372"/>
      <c r="U90" s="372"/>
      <c r="V90" s="372"/>
      <c r="W90" s="372"/>
      <c r="X90" s="372"/>
      <c r="Y90" s="372"/>
      <c r="Z90" s="372"/>
      <c r="AA90" s="372"/>
      <c r="AB90" s="372"/>
      <c r="AC90" s="372"/>
      <c r="AD90" s="372"/>
      <c r="AE90" s="372"/>
      <c r="AF90" s="372"/>
      <c r="AG90" s="372"/>
      <c r="AH90" s="372"/>
      <c r="AI90" s="372"/>
      <c r="AJ90" s="372"/>
      <c r="AK90" s="372"/>
      <c r="AL90" s="372"/>
      <c r="AM90" s="372"/>
      <c r="AN90" s="372"/>
      <c r="AO90" s="372"/>
      <c r="AP90" s="372"/>
      <c r="AQ90" s="372"/>
      <c r="AR90" s="372"/>
      <c r="AS90" s="372"/>
      <c r="AT90" s="372"/>
      <c r="AU90" s="372"/>
      <c r="AV90" s="372"/>
      <c r="AW90" s="372"/>
      <c r="AX90" s="372"/>
      <c r="AY90" s="372"/>
      <c r="AZ90" s="171"/>
      <c r="BB90" s="146"/>
      <c r="BC90" s="146"/>
      <c r="BD90" s="146"/>
      <c r="BE90" s="146"/>
      <c r="BF90" s="146"/>
      <c r="BG90" s="146"/>
      <c r="BH90" s="146"/>
      <c r="BI90" s="146"/>
      <c r="BJ90" s="146"/>
      <c r="BK90" s="146"/>
      <c r="BL90" s="146"/>
      <c r="BM90" s="146"/>
      <c r="BN90" s="146"/>
    </row>
    <row r="91" spans="2:98" ht="14.1" customHeight="1">
      <c r="C91" s="183"/>
      <c r="D91" s="511" t="s">
        <v>128</v>
      </c>
      <c r="E91" s="511"/>
      <c r="F91" s="511"/>
      <c r="G91" s="511"/>
      <c r="H91" s="511"/>
      <c r="I91" s="511"/>
      <c r="J91" s="511"/>
      <c r="K91" s="511"/>
      <c r="L91" s="511"/>
      <c r="M91" s="511"/>
      <c r="N91" s="511"/>
      <c r="O91" s="511"/>
      <c r="P91" s="511"/>
      <c r="Q91" s="511"/>
      <c r="R91" s="511"/>
      <c r="S91" s="511"/>
      <c r="T91" s="511"/>
      <c r="U91" s="511"/>
      <c r="V91" s="511"/>
      <c r="W91" s="511"/>
      <c r="X91" s="511"/>
      <c r="Y91" s="511"/>
      <c r="Z91" s="511"/>
      <c r="AA91" s="511"/>
      <c r="AB91" s="511"/>
      <c r="AC91" s="511"/>
      <c r="AD91" s="511"/>
      <c r="AE91" s="511"/>
      <c r="AF91" s="511"/>
      <c r="AG91" s="511"/>
      <c r="AH91" s="511"/>
      <c r="AI91" s="511"/>
      <c r="AJ91" s="511"/>
      <c r="AK91" s="511"/>
      <c r="AL91" s="511"/>
      <c r="AM91" s="511"/>
      <c r="AN91" s="511"/>
      <c r="AO91" s="511"/>
      <c r="AP91" s="511"/>
      <c r="AQ91" s="511"/>
      <c r="AR91" s="511"/>
      <c r="AS91" s="511"/>
      <c r="AT91" s="511"/>
      <c r="AU91" s="511"/>
      <c r="AV91" s="511"/>
      <c r="AW91" s="511"/>
      <c r="AX91" s="511"/>
      <c r="AY91" s="511"/>
      <c r="AZ91" s="171"/>
      <c r="BB91" s="146"/>
      <c r="BC91" s="146"/>
      <c r="BD91" s="146"/>
      <c r="BE91" s="146"/>
      <c r="BF91" s="146"/>
      <c r="BG91" s="146"/>
      <c r="BH91" s="146"/>
      <c r="BI91" s="146"/>
      <c r="BJ91" s="146"/>
      <c r="BK91" s="146"/>
      <c r="BL91" s="146"/>
      <c r="BM91" s="146"/>
      <c r="BN91" s="146"/>
    </row>
    <row r="92" spans="2:98" ht="27.75" customHeight="1">
      <c r="B92" s="255" t="s">
        <v>166</v>
      </c>
      <c r="C92" s="183"/>
      <c r="D92" s="521" t="s">
        <v>26</v>
      </c>
      <c r="E92" s="521"/>
      <c r="F92" s="504" t="s">
        <v>227</v>
      </c>
      <c r="G92" s="504"/>
      <c r="H92" s="504"/>
      <c r="I92" s="504"/>
      <c r="J92" s="504"/>
      <c r="K92" s="504"/>
      <c r="L92" s="504"/>
      <c r="M92" s="504"/>
      <c r="N92" s="504"/>
      <c r="O92" s="504"/>
      <c r="P92" s="504"/>
      <c r="Q92" s="504"/>
      <c r="R92" s="504"/>
      <c r="S92" s="504"/>
      <c r="T92" s="504"/>
      <c r="U92" s="504"/>
      <c r="V92" s="504"/>
      <c r="W92" s="504"/>
      <c r="X92" s="504"/>
      <c r="Y92" s="504"/>
      <c r="Z92" s="504"/>
      <c r="AA92" s="504"/>
      <c r="AB92" s="504"/>
      <c r="AC92" s="504"/>
      <c r="AD92" s="504"/>
      <c r="AE92" s="504"/>
      <c r="AF92" s="504"/>
      <c r="AG92" s="504"/>
      <c r="AH92" s="504"/>
      <c r="AI92" s="504"/>
      <c r="AJ92" s="504"/>
      <c r="AK92" s="504"/>
      <c r="AL92" s="504"/>
      <c r="AM92" s="504"/>
      <c r="AN92" s="504"/>
      <c r="AO92" s="504"/>
      <c r="AP92" s="504"/>
      <c r="AQ92" s="504"/>
      <c r="AR92" s="504"/>
      <c r="AS92" s="504"/>
      <c r="AT92" s="504"/>
      <c r="AU92" s="504"/>
      <c r="AV92" s="504"/>
      <c r="AW92" s="504"/>
      <c r="AX92" s="504"/>
      <c r="AY92" s="504"/>
      <c r="AZ92" s="171"/>
      <c r="BB92" s="146"/>
      <c r="BC92" s="146"/>
      <c r="BD92" s="146"/>
      <c r="BE92" s="146"/>
      <c r="BF92" s="146"/>
      <c r="BG92" s="146"/>
      <c r="BH92" s="146"/>
      <c r="BI92" s="146"/>
      <c r="BJ92" s="146"/>
      <c r="BK92" s="146"/>
      <c r="BL92" s="146"/>
      <c r="BM92" s="146"/>
      <c r="BN92" s="146"/>
    </row>
    <row r="93" spans="2:98" ht="27" customHeight="1">
      <c r="B93" s="255" t="s">
        <v>166</v>
      </c>
      <c r="C93" s="183"/>
      <c r="D93" s="359"/>
      <c r="E93" s="359"/>
      <c r="F93" s="517" t="s">
        <v>58</v>
      </c>
      <c r="G93" s="517"/>
      <c r="H93" s="504" t="s">
        <v>283</v>
      </c>
      <c r="I93" s="504"/>
      <c r="J93" s="504"/>
      <c r="K93" s="504"/>
      <c r="L93" s="504"/>
      <c r="M93" s="504"/>
      <c r="N93" s="504"/>
      <c r="O93" s="504"/>
      <c r="P93" s="504"/>
      <c r="Q93" s="504"/>
      <c r="R93" s="504"/>
      <c r="S93" s="504"/>
      <c r="T93" s="504"/>
      <c r="U93" s="504"/>
      <c r="V93" s="504"/>
      <c r="W93" s="504"/>
      <c r="X93" s="504"/>
      <c r="Y93" s="504"/>
      <c r="Z93" s="504"/>
      <c r="AA93" s="504"/>
      <c r="AB93" s="504"/>
      <c r="AC93" s="504"/>
      <c r="AD93" s="504"/>
      <c r="AE93" s="504"/>
      <c r="AF93" s="504"/>
      <c r="AG93" s="504"/>
      <c r="AH93" s="504"/>
      <c r="AI93" s="504"/>
      <c r="AJ93" s="504"/>
      <c r="AK93" s="504"/>
      <c r="AL93" s="504"/>
      <c r="AM93" s="504"/>
      <c r="AN93" s="504"/>
      <c r="AO93" s="504"/>
      <c r="AP93" s="504"/>
      <c r="AQ93" s="504"/>
      <c r="AR93" s="504"/>
      <c r="AS93" s="504"/>
      <c r="AT93" s="504"/>
      <c r="AU93" s="504"/>
      <c r="AV93" s="504"/>
      <c r="AW93" s="504"/>
      <c r="AX93" s="504"/>
      <c r="AY93" s="504"/>
      <c r="AZ93" s="171"/>
      <c r="BB93" s="146"/>
      <c r="BC93" s="146"/>
      <c r="BD93" s="146"/>
      <c r="BE93" s="146"/>
      <c r="BF93" s="146"/>
      <c r="BG93" s="146"/>
      <c r="BH93" s="146"/>
      <c r="BI93" s="146"/>
      <c r="BJ93" s="146"/>
      <c r="BK93" s="146"/>
      <c r="BL93" s="146"/>
      <c r="BM93" s="146"/>
      <c r="BN93" s="146"/>
    </row>
    <row r="94" spans="2:98" ht="27.75" customHeight="1">
      <c r="B94" s="255" t="s">
        <v>166</v>
      </c>
      <c r="C94" s="183"/>
      <c r="D94" s="359"/>
      <c r="E94" s="359"/>
      <c r="F94" s="517" t="s">
        <v>228</v>
      </c>
      <c r="G94" s="517"/>
      <c r="H94" s="504" t="s">
        <v>230</v>
      </c>
      <c r="I94" s="504"/>
      <c r="J94" s="504"/>
      <c r="K94" s="504"/>
      <c r="L94" s="504"/>
      <c r="M94" s="504"/>
      <c r="N94" s="504"/>
      <c r="O94" s="504"/>
      <c r="P94" s="504"/>
      <c r="Q94" s="504"/>
      <c r="R94" s="504"/>
      <c r="S94" s="504"/>
      <c r="T94" s="504"/>
      <c r="U94" s="504"/>
      <c r="V94" s="504"/>
      <c r="W94" s="504"/>
      <c r="X94" s="504"/>
      <c r="Y94" s="504"/>
      <c r="Z94" s="504"/>
      <c r="AA94" s="504"/>
      <c r="AB94" s="504"/>
      <c r="AC94" s="504"/>
      <c r="AD94" s="504"/>
      <c r="AE94" s="504"/>
      <c r="AF94" s="504"/>
      <c r="AG94" s="504"/>
      <c r="AH94" s="504"/>
      <c r="AI94" s="504"/>
      <c r="AJ94" s="504"/>
      <c r="AK94" s="504"/>
      <c r="AL94" s="504"/>
      <c r="AM94" s="504"/>
      <c r="AN94" s="504"/>
      <c r="AO94" s="504"/>
      <c r="AP94" s="504"/>
      <c r="AQ94" s="504"/>
      <c r="AR94" s="504"/>
      <c r="AS94" s="504"/>
      <c r="AT94" s="504"/>
      <c r="AU94" s="504"/>
      <c r="AV94" s="504"/>
      <c r="AW94" s="504"/>
      <c r="AX94" s="504"/>
      <c r="AY94" s="504"/>
      <c r="AZ94" s="171"/>
      <c r="BB94" s="146"/>
      <c r="BC94" s="146"/>
      <c r="BD94" s="146"/>
      <c r="BE94" s="146"/>
      <c r="BF94" s="146"/>
      <c r="BG94" s="146"/>
      <c r="BH94" s="146"/>
      <c r="BI94" s="146"/>
      <c r="BJ94" s="146"/>
      <c r="BK94" s="146"/>
      <c r="BL94" s="146"/>
      <c r="BM94" s="146"/>
      <c r="BN94" s="146"/>
    </row>
    <row r="95" spans="2:98" ht="27.75" customHeight="1">
      <c r="B95" s="255" t="s">
        <v>166</v>
      </c>
      <c r="C95" s="183"/>
      <c r="D95" s="359"/>
      <c r="E95" s="359"/>
      <c r="F95" s="517" t="s">
        <v>229</v>
      </c>
      <c r="G95" s="517"/>
      <c r="H95" s="504" t="s">
        <v>290</v>
      </c>
      <c r="I95" s="504"/>
      <c r="J95" s="504"/>
      <c r="K95" s="504"/>
      <c r="L95" s="504"/>
      <c r="M95" s="504"/>
      <c r="N95" s="504"/>
      <c r="O95" s="504"/>
      <c r="P95" s="504"/>
      <c r="Q95" s="504"/>
      <c r="R95" s="504"/>
      <c r="S95" s="504"/>
      <c r="T95" s="504"/>
      <c r="U95" s="504"/>
      <c r="V95" s="504"/>
      <c r="W95" s="504"/>
      <c r="X95" s="504"/>
      <c r="Y95" s="504"/>
      <c r="Z95" s="504"/>
      <c r="AA95" s="504"/>
      <c r="AB95" s="504"/>
      <c r="AC95" s="504"/>
      <c r="AD95" s="504"/>
      <c r="AE95" s="504"/>
      <c r="AF95" s="504"/>
      <c r="AG95" s="504"/>
      <c r="AH95" s="504"/>
      <c r="AI95" s="504"/>
      <c r="AJ95" s="504"/>
      <c r="AK95" s="504"/>
      <c r="AL95" s="504"/>
      <c r="AM95" s="504"/>
      <c r="AN95" s="504"/>
      <c r="AO95" s="504"/>
      <c r="AP95" s="504"/>
      <c r="AQ95" s="504"/>
      <c r="AR95" s="504"/>
      <c r="AS95" s="504"/>
      <c r="AT95" s="504"/>
      <c r="AU95" s="504"/>
      <c r="AV95" s="504"/>
      <c r="AW95" s="504"/>
      <c r="AX95" s="504"/>
      <c r="AY95" s="504"/>
      <c r="AZ95" s="171"/>
      <c r="BB95" s="502"/>
      <c r="BC95" s="502"/>
      <c r="BD95" s="502"/>
      <c r="BE95" s="502"/>
      <c r="BF95" s="502"/>
      <c r="BG95" s="502"/>
      <c r="BH95" s="502"/>
      <c r="BI95" s="502"/>
      <c r="BJ95" s="502"/>
      <c r="BK95" s="502"/>
      <c r="BL95" s="502"/>
      <c r="BM95" s="146"/>
      <c r="BN95" s="146"/>
    </row>
    <row r="96" spans="2:98" ht="85.95" customHeight="1">
      <c r="B96" s="255" t="s">
        <v>166</v>
      </c>
      <c r="C96" s="183"/>
      <c r="D96" s="521" t="s">
        <v>27</v>
      </c>
      <c r="E96" s="521"/>
      <c r="F96" s="504" t="s">
        <v>318</v>
      </c>
      <c r="G96" s="504"/>
      <c r="H96" s="504"/>
      <c r="I96" s="504"/>
      <c r="J96" s="504"/>
      <c r="K96" s="504"/>
      <c r="L96" s="504"/>
      <c r="M96" s="504"/>
      <c r="N96" s="504"/>
      <c r="O96" s="504"/>
      <c r="P96" s="504"/>
      <c r="Q96" s="504"/>
      <c r="R96" s="504"/>
      <c r="S96" s="504"/>
      <c r="T96" s="504"/>
      <c r="U96" s="504"/>
      <c r="V96" s="504"/>
      <c r="W96" s="504"/>
      <c r="X96" s="504"/>
      <c r="Y96" s="504"/>
      <c r="Z96" s="504"/>
      <c r="AA96" s="504"/>
      <c r="AB96" s="504"/>
      <c r="AC96" s="504"/>
      <c r="AD96" s="504"/>
      <c r="AE96" s="504"/>
      <c r="AF96" s="504"/>
      <c r="AG96" s="504"/>
      <c r="AH96" s="504"/>
      <c r="AI96" s="504"/>
      <c r="AJ96" s="504"/>
      <c r="AK96" s="504"/>
      <c r="AL96" s="504"/>
      <c r="AM96" s="504"/>
      <c r="AN96" s="504"/>
      <c r="AO96" s="504"/>
      <c r="AP96" s="504"/>
      <c r="AQ96" s="504"/>
      <c r="AR96" s="504"/>
      <c r="AS96" s="504"/>
      <c r="AT96" s="504"/>
      <c r="AU96" s="504"/>
      <c r="AV96" s="504"/>
      <c r="AW96" s="504"/>
      <c r="AX96" s="504"/>
      <c r="AY96" s="504"/>
      <c r="AZ96" s="171"/>
      <c r="BA96" s="504"/>
      <c r="BB96" s="504"/>
      <c r="BC96" s="504"/>
      <c r="BD96" s="504"/>
      <c r="BE96" s="504"/>
      <c r="BF96" s="504"/>
      <c r="BG96" s="504"/>
      <c r="BH96" s="504"/>
      <c r="BI96" s="504"/>
      <c r="BJ96" s="504"/>
      <c r="BK96" s="504"/>
      <c r="BL96" s="504"/>
      <c r="BM96" s="504"/>
      <c r="BN96" s="504"/>
      <c r="BO96" s="504"/>
      <c r="BP96" s="504"/>
      <c r="BQ96" s="504"/>
      <c r="BR96" s="504"/>
      <c r="BS96" s="504"/>
      <c r="BT96" s="504"/>
      <c r="BU96" s="504"/>
      <c r="BV96" s="504"/>
      <c r="BW96" s="504"/>
      <c r="BX96" s="504"/>
      <c r="BY96" s="504"/>
      <c r="BZ96" s="504"/>
      <c r="CA96" s="504"/>
      <c r="CB96" s="504"/>
      <c r="CC96" s="504"/>
      <c r="CD96" s="504"/>
      <c r="CE96" s="504"/>
      <c r="CF96" s="504"/>
      <c r="CG96" s="504"/>
      <c r="CH96" s="504"/>
      <c r="CI96" s="504"/>
      <c r="CJ96" s="504"/>
      <c r="CK96" s="504"/>
      <c r="CL96" s="504"/>
      <c r="CM96" s="504"/>
      <c r="CN96" s="504"/>
      <c r="CO96" s="504"/>
      <c r="CP96" s="504"/>
      <c r="CQ96" s="504"/>
      <c r="CR96" s="504"/>
      <c r="CS96" s="504"/>
      <c r="CT96" s="504"/>
    </row>
    <row r="97" spans="1:98" ht="86.4" customHeight="1">
      <c r="C97" s="183"/>
      <c r="D97" s="388"/>
      <c r="E97" s="388"/>
      <c r="F97" s="504" t="s">
        <v>319</v>
      </c>
      <c r="G97" s="568"/>
      <c r="H97" s="568"/>
      <c r="I97" s="568"/>
      <c r="J97" s="568"/>
      <c r="K97" s="568"/>
      <c r="L97" s="568"/>
      <c r="M97" s="568"/>
      <c r="N97" s="568"/>
      <c r="O97" s="568"/>
      <c r="P97" s="568"/>
      <c r="Q97" s="568"/>
      <c r="R97" s="568"/>
      <c r="S97" s="568"/>
      <c r="T97" s="568"/>
      <c r="U97" s="568"/>
      <c r="V97" s="568"/>
      <c r="W97" s="568"/>
      <c r="X97" s="568"/>
      <c r="Y97" s="568"/>
      <c r="Z97" s="568"/>
      <c r="AA97" s="568"/>
      <c r="AB97" s="568"/>
      <c r="AC97" s="568"/>
      <c r="AD97" s="568"/>
      <c r="AE97" s="568"/>
      <c r="AF97" s="568"/>
      <c r="AG97" s="568"/>
      <c r="AH97" s="568"/>
      <c r="AI97" s="568"/>
      <c r="AJ97" s="568"/>
      <c r="AK97" s="568"/>
      <c r="AL97" s="568"/>
      <c r="AM97" s="568"/>
      <c r="AN97" s="568"/>
      <c r="AO97" s="568"/>
      <c r="AP97" s="568"/>
      <c r="AQ97" s="568"/>
      <c r="AR97" s="568"/>
      <c r="AS97" s="568"/>
      <c r="AT97" s="568"/>
      <c r="AU97" s="568"/>
      <c r="AV97" s="568"/>
      <c r="AW97" s="568"/>
      <c r="AX97" s="568"/>
      <c r="AY97" s="568"/>
      <c r="AZ97" s="171"/>
      <c r="BA97" s="387"/>
      <c r="BB97" s="387"/>
      <c r="BC97" s="387"/>
      <c r="BD97" s="387"/>
      <c r="BE97" s="387"/>
      <c r="BF97" s="387"/>
      <c r="BG97" s="387"/>
      <c r="BH97" s="387"/>
      <c r="BI97" s="387"/>
      <c r="BJ97" s="387"/>
      <c r="BK97" s="387"/>
      <c r="BL97" s="387"/>
      <c r="BM97" s="387"/>
      <c r="BN97" s="387"/>
      <c r="BO97" s="387"/>
      <c r="BP97" s="387"/>
      <c r="BQ97" s="387"/>
      <c r="BR97" s="387"/>
      <c r="BS97" s="387"/>
      <c r="BT97" s="387"/>
      <c r="BU97" s="387"/>
      <c r="BV97" s="387"/>
      <c r="BW97" s="387"/>
      <c r="BX97" s="387"/>
      <c r="BY97" s="387"/>
      <c r="BZ97" s="387"/>
      <c r="CA97" s="387"/>
      <c r="CB97" s="387"/>
      <c r="CC97" s="387"/>
      <c r="CD97" s="387"/>
      <c r="CE97" s="387"/>
      <c r="CF97" s="387"/>
      <c r="CG97" s="387"/>
      <c r="CH97" s="387"/>
      <c r="CI97" s="387"/>
      <c r="CJ97" s="387"/>
      <c r="CK97" s="387"/>
      <c r="CL97" s="387"/>
      <c r="CM97" s="387"/>
      <c r="CN97" s="387"/>
      <c r="CO97" s="387"/>
      <c r="CP97" s="387"/>
      <c r="CQ97" s="387"/>
      <c r="CR97" s="387"/>
      <c r="CS97" s="387"/>
      <c r="CT97" s="387"/>
    </row>
    <row r="98" spans="1:98" ht="86.25" customHeight="1">
      <c r="C98" s="183"/>
      <c r="D98" s="388"/>
      <c r="E98" s="388"/>
      <c r="F98" s="504" t="s">
        <v>320</v>
      </c>
      <c r="G98" s="504"/>
      <c r="H98" s="504"/>
      <c r="I98" s="504"/>
      <c r="J98" s="504"/>
      <c r="K98" s="504"/>
      <c r="L98" s="504"/>
      <c r="M98" s="504"/>
      <c r="N98" s="504"/>
      <c r="O98" s="504"/>
      <c r="P98" s="504"/>
      <c r="Q98" s="504"/>
      <c r="R98" s="504"/>
      <c r="S98" s="504"/>
      <c r="T98" s="504"/>
      <c r="U98" s="504"/>
      <c r="V98" s="504"/>
      <c r="W98" s="504"/>
      <c r="X98" s="504"/>
      <c r="Y98" s="504"/>
      <c r="Z98" s="504"/>
      <c r="AA98" s="504"/>
      <c r="AB98" s="504"/>
      <c r="AC98" s="504"/>
      <c r="AD98" s="504"/>
      <c r="AE98" s="504"/>
      <c r="AF98" s="504"/>
      <c r="AG98" s="504"/>
      <c r="AH98" s="504"/>
      <c r="AI98" s="504"/>
      <c r="AJ98" s="504"/>
      <c r="AK98" s="504"/>
      <c r="AL98" s="504"/>
      <c r="AM98" s="504"/>
      <c r="AN98" s="504"/>
      <c r="AO98" s="504"/>
      <c r="AP98" s="504"/>
      <c r="AQ98" s="504"/>
      <c r="AR98" s="504"/>
      <c r="AS98" s="504"/>
      <c r="AT98" s="504"/>
      <c r="AU98" s="504"/>
      <c r="AV98" s="504"/>
      <c r="AW98" s="504"/>
      <c r="AX98" s="504"/>
      <c r="AY98" s="504"/>
      <c r="AZ98" s="171"/>
      <c r="BA98" s="387"/>
      <c r="BB98" s="387"/>
      <c r="BC98" s="387"/>
      <c r="BD98" s="387"/>
      <c r="BE98" s="387"/>
      <c r="BF98" s="387"/>
      <c r="BG98" s="387"/>
      <c r="BH98" s="387"/>
      <c r="BI98" s="387"/>
      <c r="BJ98" s="387"/>
      <c r="BK98" s="387"/>
      <c r="BL98" s="387"/>
      <c r="BM98" s="387"/>
      <c r="BN98" s="387"/>
      <c r="BO98" s="387"/>
      <c r="BP98" s="387"/>
      <c r="BQ98" s="387"/>
      <c r="BR98" s="387"/>
      <c r="BS98" s="387"/>
      <c r="BT98" s="387"/>
      <c r="BU98" s="387"/>
      <c r="BV98" s="387"/>
      <c r="BW98" s="387"/>
      <c r="BX98" s="387"/>
      <c r="BY98" s="387"/>
      <c r="BZ98" s="387"/>
      <c r="CA98" s="387"/>
      <c r="CB98" s="387"/>
      <c r="CC98" s="387"/>
      <c r="CD98" s="387"/>
      <c r="CE98" s="387"/>
      <c r="CF98" s="387"/>
      <c r="CG98" s="387"/>
      <c r="CH98" s="387"/>
      <c r="CI98" s="387"/>
      <c r="CJ98" s="387"/>
      <c r="CK98" s="387"/>
      <c r="CL98" s="387"/>
      <c r="CM98" s="387"/>
      <c r="CN98" s="387"/>
      <c r="CO98" s="387"/>
      <c r="CP98" s="387"/>
      <c r="CQ98" s="387"/>
      <c r="CR98" s="387"/>
      <c r="CS98" s="387"/>
      <c r="CT98" s="387"/>
    </row>
    <row r="99" spans="1:98" s="163" customFormat="1" ht="28.5" customHeight="1">
      <c r="A99" s="218"/>
      <c r="B99" s="256" t="s">
        <v>166</v>
      </c>
      <c r="C99" s="368"/>
      <c r="D99" s="521" t="s">
        <v>129</v>
      </c>
      <c r="E99" s="521"/>
      <c r="F99" s="504" t="s">
        <v>131</v>
      </c>
      <c r="G99" s="504"/>
      <c r="H99" s="504"/>
      <c r="I99" s="504"/>
      <c r="J99" s="504"/>
      <c r="K99" s="504"/>
      <c r="L99" s="504"/>
      <c r="M99" s="504"/>
      <c r="N99" s="504"/>
      <c r="O99" s="504"/>
      <c r="P99" s="504"/>
      <c r="Q99" s="504"/>
      <c r="R99" s="504"/>
      <c r="S99" s="504"/>
      <c r="T99" s="504"/>
      <c r="U99" s="504"/>
      <c r="V99" s="504"/>
      <c r="W99" s="504"/>
      <c r="X99" s="504"/>
      <c r="Y99" s="504"/>
      <c r="Z99" s="504"/>
      <c r="AA99" s="504"/>
      <c r="AB99" s="504"/>
      <c r="AC99" s="504"/>
      <c r="AD99" s="504"/>
      <c r="AE99" s="504"/>
      <c r="AF99" s="504"/>
      <c r="AG99" s="504"/>
      <c r="AH99" s="504"/>
      <c r="AI99" s="504"/>
      <c r="AJ99" s="504"/>
      <c r="AK99" s="504"/>
      <c r="AL99" s="504"/>
      <c r="AM99" s="504"/>
      <c r="AN99" s="504"/>
      <c r="AO99" s="504"/>
      <c r="AP99" s="504"/>
      <c r="AQ99" s="504"/>
      <c r="AR99" s="504"/>
      <c r="AS99" s="504"/>
      <c r="AT99" s="504"/>
      <c r="AU99" s="504"/>
      <c r="AV99" s="504"/>
      <c r="AW99" s="504"/>
      <c r="AX99" s="504"/>
      <c r="AY99" s="504"/>
      <c r="AZ99" s="182"/>
      <c r="BA99" s="164"/>
      <c r="BB99" s="164"/>
      <c r="BC99" s="164"/>
      <c r="BD99" s="164"/>
      <c r="BE99" s="164"/>
      <c r="BF99" s="164"/>
      <c r="BG99" s="164"/>
      <c r="BH99" s="164"/>
      <c r="BI99" s="164"/>
      <c r="BJ99" s="164"/>
      <c r="BK99" s="164"/>
      <c r="BL99" s="164"/>
      <c r="BM99" s="164"/>
      <c r="BN99" s="164"/>
    </row>
    <row r="100" spans="1:98" ht="42" customHeight="1">
      <c r="B100" s="255" t="s">
        <v>166</v>
      </c>
      <c r="C100" s="181"/>
      <c r="D100" s="521" t="s">
        <v>130</v>
      </c>
      <c r="E100" s="521"/>
      <c r="F100" s="504" t="s">
        <v>263</v>
      </c>
      <c r="G100" s="504"/>
      <c r="H100" s="504"/>
      <c r="I100" s="504"/>
      <c r="J100" s="504"/>
      <c r="K100" s="504"/>
      <c r="L100" s="504"/>
      <c r="M100" s="504"/>
      <c r="N100" s="504"/>
      <c r="O100" s="504"/>
      <c r="P100" s="504"/>
      <c r="Q100" s="504"/>
      <c r="R100" s="504"/>
      <c r="S100" s="504"/>
      <c r="T100" s="504"/>
      <c r="U100" s="504"/>
      <c r="V100" s="504"/>
      <c r="W100" s="504"/>
      <c r="X100" s="504"/>
      <c r="Y100" s="504"/>
      <c r="Z100" s="504"/>
      <c r="AA100" s="504"/>
      <c r="AB100" s="504"/>
      <c r="AC100" s="504"/>
      <c r="AD100" s="504"/>
      <c r="AE100" s="504"/>
      <c r="AF100" s="504"/>
      <c r="AG100" s="504"/>
      <c r="AH100" s="504"/>
      <c r="AI100" s="504"/>
      <c r="AJ100" s="504"/>
      <c r="AK100" s="504"/>
      <c r="AL100" s="504"/>
      <c r="AM100" s="504"/>
      <c r="AN100" s="504"/>
      <c r="AO100" s="504"/>
      <c r="AP100" s="504"/>
      <c r="AQ100" s="504"/>
      <c r="AR100" s="504"/>
      <c r="AS100" s="504"/>
      <c r="AT100" s="504"/>
      <c r="AU100" s="504"/>
      <c r="AV100" s="504"/>
      <c r="AW100" s="504"/>
      <c r="AX100" s="504"/>
      <c r="AY100" s="504"/>
      <c r="AZ100" s="171"/>
      <c r="BB100" s="146"/>
      <c r="BC100" s="146"/>
      <c r="BD100" s="146"/>
      <c r="BE100" s="146"/>
      <c r="BF100" s="146"/>
      <c r="BG100" s="146"/>
      <c r="BH100" s="146"/>
      <c r="BI100" s="146"/>
      <c r="BJ100" s="146"/>
      <c r="BK100" s="146"/>
      <c r="BL100" s="146"/>
      <c r="BM100" s="146"/>
      <c r="BN100" s="146"/>
    </row>
    <row r="101" spans="1:98" ht="13.5" customHeight="1">
      <c r="B101" s="255" t="s">
        <v>166</v>
      </c>
      <c r="C101" s="181"/>
      <c r="D101" s="181"/>
      <c r="E101" s="181"/>
      <c r="F101" s="181"/>
      <c r="G101" s="181"/>
      <c r="H101" s="181"/>
      <c r="I101" s="181"/>
      <c r="J101" s="181"/>
      <c r="K101" s="181"/>
      <c r="L101" s="181"/>
      <c r="M101" s="181"/>
      <c r="N101" s="181"/>
      <c r="O101" s="181"/>
      <c r="P101" s="183"/>
      <c r="Q101" s="183"/>
      <c r="R101" s="183"/>
      <c r="S101" s="183"/>
      <c r="T101" s="183"/>
      <c r="U101" s="183"/>
      <c r="V101" s="183"/>
      <c r="W101" s="183"/>
      <c r="X101" s="183"/>
      <c r="Y101" s="183"/>
      <c r="Z101" s="183"/>
      <c r="AA101" s="183"/>
      <c r="AB101" s="183"/>
      <c r="AC101" s="183"/>
      <c r="AD101" s="183"/>
      <c r="AE101" s="183"/>
      <c r="AF101" s="183"/>
      <c r="AG101" s="183"/>
      <c r="AH101" s="183"/>
      <c r="AI101" s="183"/>
      <c r="AJ101" s="183"/>
      <c r="AK101" s="183"/>
      <c r="AL101" s="183"/>
      <c r="AM101" s="183"/>
      <c r="AN101" s="183"/>
      <c r="AO101" s="183"/>
      <c r="AP101" s="183"/>
      <c r="AQ101" s="183"/>
      <c r="AR101" s="183"/>
      <c r="AS101" s="183"/>
      <c r="AT101" s="183"/>
      <c r="AU101" s="183"/>
      <c r="AV101" s="183"/>
      <c r="AW101" s="183"/>
      <c r="AX101" s="183"/>
      <c r="AY101" s="183"/>
      <c r="AZ101" s="171"/>
      <c r="BB101" s="146"/>
      <c r="BC101" s="146"/>
      <c r="BD101" s="146"/>
      <c r="BE101" s="146"/>
      <c r="BF101" s="146"/>
      <c r="BG101" s="146"/>
      <c r="BH101" s="146"/>
      <c r="BI101" s="146"/>
      <c r="BJ101" s="146"/>
      <c r="BK101" s="146"/>
      <c r="BL101" s="146"/>
      <c r="BM101" s="146"/>
      <c r="BN101" s="146"/>
    </row>
    <row r="102" spans="1:98" ht="13.5" customHeight="1">
      <c r="C102" s="183"/>
      <c r="D102" s="511" t="s">
        <v>132</v>
      </c>
      <c r="E102" s="511"/>
      <c r="F102" s="511"/>
      <c r="G102" s="511"/>
      <c r="H102" s="511"/>
      <c r="I102" s="511"/>
      <c r="J102" s="511"/>
      <c r="K102" s="511"/>
      <c r="L102" s="511"/>
      <c r="M102" s="511"/>
      <c r="N102" s="511"/>
      <c r="O102" s="511"/>
      <c r="P102" s="511"/>
      <c r="Q102" s="511"/>
      <c r="R102" s="511"/>
      <c r="S102" s="511"/>
      <c r="T102" s="511"/>
      <c r="U102" s="511"/>
      <c r="V102" s="511"/>
      <c r="W102" s="511"/>
      <c r="X102" s="511"/>
      <c r="Y102" s="511"/>
      <c r="Z102" s="511"/>
      <c r="AA102" s="511"/>
      <c r="AB102" s="511"/>
      <c r="AC102" s="511"/>
      <c r="AD102" s="511"/>
      <c r="AE102" s="511"/>
      <c r="AF102" s="511"/>
      <c r="AG102" s="511"/>
      <c r="AH102" s="511"/>
      <c r="AI102" s="511"/>
      <c r="AJ102" s="511"/>
      <c r="AK102" s="511"/>
      <c r="AL102" s="511"/>
      <c r="AM102" s="511"/>
      <c r="AN102" s="511"/>
      <c r="AO102" s="511"/>
      <c r="AP102" s="511"/>
      <c r="AQ102" s="511"/>
      <c r="AR102" s="511"/>
      <c r="AS102" s="511"/>
      <c r="AT102" s="511"/>
      <c r="AU102" s="511"/>
      <c r="AV102" s="511"/>
      <c r="AW102" s="511"/>
      <c r="AX102" s="511"/>
      <c r="AY102" s="511"/>
      <c r="AZ102" s="171"/>
      <c r="BB102" s="146"/>
      <c r="BC102" s="146"/>
      <c r="BD102" s="146"/>
      <c r="BE102" s="146"/>
      <c r="BF102" s="146"/>
      <c r="BG102" s="146"/>
      <c r="BH102" s="146"/>
      <c r="BI102" s="146"/>
      <c r="BJ102" s="146"/>
      <c r="BK102" s="146"/>
      <c r="BL102" s="146"/>
      <c r="BM102" s="146"/>
      <c r="BN102" s="146"/>
    </row>
    <row r="103" spans="1:98" ht="27.75" customHeight="1">
      <c r="B103" s="255" t="s">
        <v>166</v>
      </c>
      <c r="C103" s="183"/>
      <c r="D103" s="521" t="s">
        <v>26</v>
      </c>
      <c r="E103" s="521"/>
      <c r="F103" s="528" t="s">
        <v>266</v>
      </c>
      <c r="G103" s="528"/>
      <c r="H103" s="528"/>
      <c r="I103" s="528"/>
      <c r="J103" s="528"/>
      <c r="K103" s="528"/>
      <c r="L103" s="528"/>
      <c r="M103" s="528"/>
      <c r="N103" s="528"/>
      <c r="O103" s="528"/>
      <c r="P103" s="528"/>
      <c r="Q103" s="528"/>
      <c r="R103" s="528"/>
      <c r="S103" s="528"/>
      <c r="T103" s="528"/>
      <c r="U103" s="528"/>
      <c r="V103" s="528"/>
      <c r="W103" s="528"/>
      <c r="X103" s="528"/>
      <c r="Y103" s="528"/>
      <c r="Z103" s="528"/>
      <c r="AA103" s="528"/>
      <c r="AB103" s="528"/>
      <c r="AC103" s="528"/>
      <c r="AD103" s="528"/>
      <c r="AE103" s="528"/>
      <c r="AF103" s="528"/>
      <c r="AG103" s="528"/>
      <c r="AH103" s="528"/>
      <c r="AI103" s="528"/>
      <c r="AJ103" s="528"/>
      <c r="AK103" s="528"/>
      <c r="AL103" s="528"/>
      <c r="AM103" s="528"/>
      <c r="AN103" s="528"/>
      <c r="AO103" s="528"/>
      <c r="AP103" s="528"/>
      <c r="AQ103" s="528"/>
      <c r="AR103" s="528"/>
      <c r="AS103" s="528"/>
      <c r="AT103" s="528"/>
      <c r="AU103" s="528"/>
      <c r="AV103" s="528"/>
      <c r="AW103" s="528"/>
      <c r="AX103" s="528"/>
      <c r="AY103" s="528"/>
      <c r="AZ103" s="171"/>
      <c r="BB103" s="146"/>
      <c r="BC103" s="146"/>
      <c r="BD103" s="146"/>
      <c r="BE103" s="146"/>
      <c r="BF103" s="146"/>
      <c r="BG103" s="146"/>
      <c r="BH103" s="146"/>
      <c r="BI103" s="146"/>
      <c r="BJ103" s="146"/>
      <c r="BK103" s="146"/>
      <c r="BL103" s="146"/>
      <c r="BM103" s="146"/>
      <c r="BN103" s="146"/>
    </row>
    <row r="104" spans="1:98" ht="40.5" customHeight="1">
      <c r="B104" s="255" t="s">
        <v>166</v>
      </c>
      <c r="C104" s="183"/>
      <c r="D104" s="521" t="s">
        <v>27</v>
      </c>
      <c r="E104" s="521"/>
      <c r="F104" s="528" t="s">
        <v>267</v>
      </c>
      <c r="G104" s="528"/>
      <c r="H104" s="528"/>
      <c r="I104" s="528"/>
      <c r="J104" s="528"/>
      <c r="K104" s="528"/>
      <c r="L104" s="528"/>
      <c r="M104" s="528"/>
      <c r="N104" s="528"/>
      <c r="O104" s="528"/>
      <c r="P104" s="528"/>
      <c r="Q104" s="528"/>
      <c r="R104" s="528"/>
      <c r="S104" s="528"/>
      <c r="T104" s="528"/>
      <c r="U104" s="528"/>
      <c r="V104" s="528"/>
      <c r="W104" s="528"/>
      <c r="X104" s="528"/>
      <c r="Y104" s="528"/>
      <c r="Z104" s="528"/>
      <c r="AA104" s="528"/>
      <c r="AB104" s="528"/>
      <c r="AC104" s="528"/>
      <c r="AD104" s="528"/>
      <c r="AE104" s="528"/>
      <c r="AF104" s="528"/>
      <c r="AG104" s="528"/>
      <c r="AH104" s="528"/>
      <c r="AI104" s="528"/>
      <c r="AJ104" s="528"/>
      <c r="AK104" s="528"/>
      <c r="AL104" s="528"/>
      <c r="AM104" s="528"/>
      <c r="AN104" s="528"/>
      <c r="AO104" s="528"/>
      <c r="AP104" s="528"/>
      <c r="AQ104" s="528"/>
      <c r="AR104" s="528"/>
      <c r="AS104" s="528"/>
      <c r="AT104" s="528"/>
      <c r="AU104" s="528"/>
      <c r="AV104" s="528"/>
      <c r="AW104" s="528"/>
      <c r="AX104" s="528"/>
      <c r="AY104" s="528"/>
      <c r="AZ104" s="171"/>
      <c r="BB104" s="146"/>
      <c r="BC104" s="146"/>
      <c r="BD104" s="146"/>
      <c r="BE104" s="146"/>
      <c r="BF104" s="146"/>
      <c r="BG104" s="146"/>
      <c r="BH104" s="146"/>
      <c r="BI104" s="146"/>
      <c r="BJ104" s="146"/>
      <c r="BK104" s="146"/>
      <c r="BL104" s="146"/>
      <c r="BM104" s="146"/>
      <c r="BN104" s="146"/>
    </row>
    <row r="105" spans="1:98" ht="13.5" customHeight="1">
      <c r="B105" s="255" t="s">
        <v>166</v>
      </c>
      <c r="C105" s="183"/>
      <c r="D105" s="521" t="s">
        <v>129</v>
      </c>
      <c r="E105" s="521"/>
      <c r="F105" s="528" t="s">
        <v>140</v>
      </c>
      <c r="G105" s="528"/>
      <c r="H105" s="528"/>
      <c r="I105" s="528"/>
      <c r="J105" s="528"/>
      <c r="K105" s="528"/>
      <c r="L105" s="528"/>
      <c r="M105" s="528"/>
      <c r="N105" s="528"/>
      <c r="O105" s="528"/>
      <c r="P105" s="528"/>
      <c r="Q105" s="528"/>
      <c r="R105" s="528"/>
      <c r="S105" s="528"/>
      <c r="T105" s="528"/>
      <c r="U105" s="528"/>
      <c r="V105" s="528"/>
      <c r="W105" s="528"/>
      <c r="X105" s="528"/>
      <c r="Y105" s="528"/>
      <c r="Z105" s="528"/>
      <c r="AA105" s="528"/>
      <c r="AB105" s="528"/>
      <c r="AC105" s="528"/>
      <c r="AD105" s="528"/>
      <c r="AE105" s="528"/>
      <c r="AF105" s="528"/>
      <c r="AG105" s="528"/>
      <c r="AH105" s="528"/>
      <c r="AI105" s="528"/>
      <c r="AJ105" s="528"/>
      <c r="AK105" s="528"/>
      <c r="AL105" s="528"/>
      <c r="AM105" s="528"/>
      <c r="AN105" s="528"/>
      <c r="AO105" s="528"/>
      <c r="AP105" s="528"/>
      <c r="AQ105" s="528"/>
      <c r="AR105" s="528"/>
      <c r="AS105" s="528"/>
      <c r="AT105" s="528"/>
      <c r="AU105" s="528"/>
      <c r="AV105" s="528"/>
      <c r="AW105" s="528"/>
      <c r="AX105" s="528"/>
      <c r="AY105" s="528"/>
      <c r="AZ105" s="171"/>
      <c r="BB105" s="146"/>
      <c r="BC105" s="146"/>
      <c r="BD105" s="146"/>
      <c r="BE105" s="146"/>
      <c r="BF105" s="146"/>
      <c r="BG105" s="146"/>
      <c r="BH105" s="146"/>
      <c r="BI105" s="146"/>
      <c r="BJ105" s="146"/>
      <c r="BK105" s="146"/>
      <c r="BL105" s="146"/>
      <c r="BM105" s="146"/>
      <c r="BN105" s="146"/>
    </row>
    <row r="106" spans="1:98" ht="29.25" customHeight="1">
      <c r="B106" s="255" t="s">
        <v>166</v>
      </c>
      <c r="C106" s="183"/>
      <c r="D106" s="521" t="s">
        <v>270</v>
      </c>
      <c r="E106" s="521"/>
      <c r="F106" s="528" t="s">
        <v>269</v>
      </c>
      <c r="G106" s="528"/>
      <c r="H106" s="528"/>
      <c r="I106" s="528"/>
      <c r="J106" s="528"/>
      <c r="K106" s="528"/>
      <c r="L106" s="528"/>
      <c r="M106" s="528"/>
      <c r="N106" s="528"/>
      <c r="O106" s="528"/>
      <c r="P106" s="528"/>
      <c r="Q106" s="528"/>
      <c r="R106" s="528"/>
      <c r="S106" s="528"/>
      <c r="T106" s="528"/>
      <c r="U106" s="528"/>
      <c r="V106" s="528"/>
      <c r="W106" s="528"/>
      <c r="X106" s="528"/>
      <c r="Y106" s="528"/>
      <c r="Z106" s="528"/>
      <c r="AA106" s="528"/>
      <c r="AB106" s="528"/>
      <c r="AC106" s="528"/>
      <c r="AD106" s="528"/>
      <c r="AE106" s="528"/>
      <c r="AF106" s="528"/>
      <c r="AG106" s="528"/>
      <c r="AH106" s="528"/>
      <c r="AI106" s="528"/>
      <c r="AJ106" s="528"/>
      <c r="AK106" s="528"/>
      <c r="AL106" s="528"/>
      <c r="AM106" s="528"/>
      <c r="AN106" s="528"/>
      <c r="AO106" s="528"/>
      <c r="AP106" s="528"/>
      <c r="AQ106" s="528"/>
      <c r="AR106" s="528"/>
      <c r="AS106" s="528"/>
      <c r="AT106" s="528"/>
      <c r="AU106" s="528"/>
      <c r="AV106" s="528"/>
      <c r="AW106" s="528"/>
      <c r="AX106" s="528"/>
      <c r="AY106" s="528"/>
      <c r="AZ106" s="171"/>
      <c r="BB106" s="146"/>
      <c r="BC106" s="146"/>
      <c r="BD106" s="146"/>
      <c r="BE106" s="146"/>
      <c r="BF106" s="146"/>
      <c r="BG106" s="146"/>
      <c r="BH106" s="146"/>
      <c r="BI106" s="146"/>
      <c r="BJ106" s="146"/>
      <c r="BK106" s="146"/>
      <c r="BL106" s="146"/>
      <c r="BM106" s="146"/>
      <c r="BN106" s="146"/>
    </row>
    <row r="107" spans="1:98" ht="68.25" customHeight="1">
      <c r="B107" s="255" t="s">
        <v>166</v>
      </c>
      <c r="C107" s="183"/>
      <c r="D107" s="521" t="s">
        <v>133</v>
      </c>
      <c r="E107" s="521"/>
      <c r="F107" s="528" t="s">
        <v>141</v>
      </c>
      <c r="G107" s="528"/>
      <c r="H107" s="528"/>
      <c r="I107" s="528"/>
      <c r="J107" s="528"/>
      <c r="K107" s="528"/>
      <c r="L107" s="528"/>
      <c r="M107" s="528"/>
      <c r="N107" s="528"/>
      <c r="O107" s="528"/>
      <c r="P107" s="528"/>
      <c r="Q107" s="528"/>
      <c r="R107" s="528"/>
      <c r="S107" s="528"/>
      <c r="T107" s="528"/>
      <c r="U107" s="528"/>
      <c r="V107" s="528"/>
      <c r="W107" s="528"/>
      <c r="X107" s="528"/>
      <c r="Y107" s="528"/>
      <c r="Z107" s="528"/>
      <c r="AA107" s="528"/>
      <c r="AB107" s="528"/>
      <c r="AC107" s="528"/>
      <c r="AD107" s="528"/>
      <c r="AE107" s="528"/>
      <c r="AF107" s="528"/>
      <c r="AG107" s="528"/>
      <c r="AH107" s="528"/>
      <c r="AI107" s="528"/>
      <c r="AJ107" s="528"/>
      <c r="AK107" s="528"/>
      <c r="AL107" s="528"/>
      <c r="AM107" s="528"/>
      <c r="AN107" s="528"/>
      <c r="AO107" s="528"/>
      <c r="AP107" s="528"/>
      <c r="AQ107" s="528"/>
      <c r="AR107" s="528"/>
      <c r="AS107" s="528"/>
      <c r="AT107" s="528"/>
      <c r="AU107" s="528"/>
      <c r="AV107" s="528"/>
      <c r="AW107" s="528"/>
      <c r="AX107" s="528"/>
      <c r="AY107" s="528"/>
      <c r="AZ107" s="171"/>
      <c r="BB107" s="502"/>
      <c r="BC107" s="502"/>
      <c r="BD107" s="502"/>
      <c r="BE107" s="502"/>
      <c r="BF107" s="146"/>
      <c r="BG107" s="146"/>
      <c r="BH107" s="146"/>
      <c r="BI107" s="146"/>
      <c r="BJ107" s="146"/>
      <c r="BK107" s="146"/>
      <c r="BL107" s="146"/>
      <c r="BM107" s="146"/>
      <c r="BN107" s="146"/>
    </row>
    <row r="108" spans="1:98" ht="204.75" customHeight="1">
      <c r="B108" s="255" t="s">
        <v>166</v>
      </c>
      <c r="C108" s="183"/>
      <c r="D108" s="521" t="s">
        <v>134</v>
      </c>
      <c r="E108" s="521"/>
      <c r="F108" s="528" t="s">
        <v>325</v>
      </c>
      <c r="G108" s="528"/>
      <c r="H108" s="528"/>
      <c r="I108" s="528"/>
      <c r="J108" s="528"/>
      <c r="K108" s="528"/>
      <c r="L108" s="528"/>
      <c r="M108" s="528"/>
      <c r="N108" s="528"/>
      <c r="O108" s="528"/>
      <c r="P108" s="528"/>
      <c r="Q108" s="528"/>
      <c r="R108" s="528"/>
      <c r="S108" s="528"/>
      <c r="T108" s="528"/>
      <c r="U108" s="528"/>
      <c r="V108" s="528"/>
      <c r="W108" s="528"/>
      <c r="X108" s="528"/>
      <c r="Y108" s="528"/>
      <c r="Z108" s="528"/>
      <c r="AA108" s="528"/>
      <c r="AB108" s="528"/>
      <c r="AC108" s="528"/>
      <c r="AD108" s="528"/>
      <c r="AE108" s="528"/>
      <c r="AF108" s="528"/>
      <c r="AG108" s="528"/>
      <c r="AH108" s="528"/>
      <c r="AI108" s="528"/>
      <c r="AJ108" s="528"/>
      <c r="AK108" s="528"/>
      <c r="AL108" s="528"/>
      <c r="AM108" s="528"/>
      <c r="AN108" s="528"/>
      <c r="AO108" s="528"/>
      <c r="AP108" s="528"/>
      <c r="AQ108" s="528"/>
      <c r="AR108" s="528"/>
      <c r="AS108" s="528"/>
      <c r="AT108" s="528"/>
      <c r="AU108" s="528"/>
      <c r="AV108" s="528"/>
      <c r="AW108" s="528"/>
      <c r="AX108" s="528"/>
      <c r="AY108" s="528"/>
      <c r="AZ108" s="171"/>
      <c r="BB108" s="146"/>
      <c r="BC108" s="146"/>
      <c r="BD108" s="146"/>
      <c r="BE108" s="146"/>
      <c r="BF108" s="146"/>
      <c r="BG108" s="146"/>
      <c r="BH108" s="146"/>
      <c r="BI108" s="146"/>
      <c r="BJ108" s="146"/>
      <c r="BK108" s="146"/>
      <c r="BL108" s="146"/>
      <c r="BM108" s="146"/>
      <c r="BN108" s="146"/>
    </row>
    <row r="109" spans="1:98" ht="41.25" customHeight="1">
      <c r="B109" s="255" t="s">
        <v>166</v>
      </c>
      <c r="C109" s="368"/>
      <c r="D109" s="521" t="s">
        <v>135</v>
      </c>
      <c r="E109" s="521"/>
      <c r="F109" s="528" t="s">
        <v>142</v>
      </c>
      <c r="G109" s="528"/>
      <c r="H109" s="528"/>
      <c r="I109" s="528"/>
      <c r="J109" s="528"/>
      <c r="K109" s="528"/>
      <c r="L109" s="528"/>
      <c r="M109" s="528"/>
      <c r="N109" s="528"/>
      <c r="O109" s="528"/>
      <c r="P109" s="528"/>
      <c r="Q109" s="528"/>
      <c r="R109" s="528"/>
      <c r="S109" s="528"/>
      <c r="T109" s="528"/>
      <c r="U109" s="528"/>
      <c r="V109" s="528"/>
      <c r="W109" s="528"/>
      <c r="X109" s="528"/>
      <c r="Y109" s="528"/>
      <c r="Z109" s="528"/>
      <c r="AA109" s="528"/>
      <c r="AB109" s="528"/>
      <c r="AC109" s="528"/>
      <c r="AD109" s="528"/>
      <c r="AE109" s="528"/>
      <c r="AF109" s="528"/>
      <c r="AG109" s="528"/>
      <c r="AH109" s="528"/>
      <c r="AI109" s="528"/>
      <c r="AJ109" s="528"/>
      <c r="AK109" s="528"/>
      <c r="AL109" s="528"/>
      <c r="AM109" s="528"/>
      <c r="AN109" s="528"/>
      <c r="AO109" s="528"/>
      <c r="AP109" s="528"/>
      <c r="AQ109" s="528"/>
      <c r="AR109" s="528"/>
      <c r="AS109" s="528"/>
      <c r="AT109" s="528"/>
      <c r="AU109" s="528"/>
      <c r="AV109" s="528"/>
      <c r="AW109" s="528"/>
      <c r="AX109" s="528"/>
      <c r="AY109" s="528"/>
      <c r="AZ109" s="171"/>
      <c r="BB109" s="146"/>
      <c r="BC109" s="146"/>
      <c r="BD109" s="146"/>
      <c r="BE109" s="146"/>
      <c r="BF109" s="146"/>
      <c r="BG109" s="146"/>
      <c r="BH109" s="146"/>
      <c r="BI109" s="146"/>
      <c r="BJ109" s="146"/>
      <c r="BK109" s="146"/>
      <c r="BL109" s="146"/>
      <c r="BM109" s="146"/>
      <c r="BN109" s="146"/>
    </row>
    <row r="110" spans="1:98" ht="14.4" customHeight="1">
      <c r="B110" s="255" t="s">
        <v>166</v>
      </c>
      <c r="C110" s="181"/>
      <c r="D110" s="521" t="s">
        <v>136</v>
      </c>
      <c r="E110" s="521"/>
      <c r="F110" s="528" t="s">
        <v>143</v>
      </c>
      <c r="G110" s="528"/>
      <c r="H110" s="528"/>
      <c r="I110" s="528"/>
      <c r="J110" s="528"/>
      <c r="K110" s="528"/>
      <c r="L110" s="528"/>
      <c r="M110" s="528"/>
      <c r="N110" s="528"/>
      <c r="O110" s="528"/>
      <c r="P110" s="528"/>
      <c r="Q110" s="528"/>
      <c r="R110" s="528"/>
      <c r="S110" s="528"/>
      <c r="T110" s="528"/>
      <c r="U110" s="528"/>
      <c r="V110" s="528"/>
      <c r="W110" s="528"/>
      <c r="X110" s="528"/>
      <c r="Y110" s="528"/>
      <c r="Z110" s="528"/>
      <c r="AA110" s="528"/>
      <c r="AB110" s="528"/>
      <c r="AC110" s="528"/>
      <c r="AD110" s="528"/>
      <c r="AE110" s="528"/>
      <c r="AF110" s="528"/>
      <c r="AG110" s="528"/>
      <c r="AH110" s="528"/>
      <c r="AI110" s="528"/>
      <c r="AJ110" s="528"/>
      <c r="AK110" s="528"/>
      <c r="AL110" s="528"/>
      <c r="AM110" s="528"/>
      <c r="AN110" s="528"/>
      <c r="AO110" s="528"/>
      <c r="AP110" s="528"/>
      <c r="AQ110" s="528"/>
      <c r="AR110" s="528"/>
      <c r="AS110" s="528"/>
      <c r="AT110" s="528"/>
      <c r="AU110" s="528"/>
      <c r="AV110" s="528"/>
      <c r="AW110" s="528"/>
      <c r="AX110" s="528"/>
      <c r="AY110" s="528"/>
      <c r="AZ110" s="171"/>
      <c r="BB110" s="146"/>
      <c r="BC110" s="146"/>
      <c r="BD110" s="146"/>
      <c r="BE110" s="146"/>
      <c r="BF110" s="146"/>
      <c r="BG110" s="146"/>
      <c r="BH110" s="146"/>
      <c r="BI110" s="146"/>
      <c r="BJ110" s="146"/>
      <c r="BK110" s="146"/>
      <c r="BL110" s="146"/>
      <c r="BM110" s="146"/>
      <c r="BN110" s="146"/>
    </row>
    <row r="111" spans="1:98" ht="42.6" customHeight="1">
      <c r="B111" s="255" t="s">
        <v>166</v>
      </c>
      <c r="C111" s="355"/>
      <c r="D111" s="521" t="s">
        <v>137</v>
      </c>
      <c r="E111" s="521"/>
      <c r="F111" s="528" t="s">
        <v>281</v>
      </c>
      <c r="G111" s="528"/>
      <c r="H111" s="528"/>
      <c r="I111" s="528"/>
      <c r="J111" s="528"/>
      <c r="K111" s="528"/>
      <c r="L111" s="528"/>
      <c r="M111" s="528"/>
      <c r="N111" s="528"/>
      <c r="O111" s="528"/>
      <c r="P111" s="528"/>
      <c r="Q111" s="528"/>
      <c r="R111" s="528"/>
      <c r="S111" s="528"/>
      <c r="T111" s="528"/>
      <c r="U111" s="528"/>
      <c r="V111" s="528"/>
      <c r="W111" s="528"/>
      <c r="X111" s="528"/>
      <c r="Y111" s="528"/>
      <c r="Z111" s="528"/>
      <c r="AA111" s="528"/>
      <c r="AB111" s="528"/>
      <c r="AC111" s="528"/>
      <c r="AD111" s="528"/>
      <c r="AE111" s="528"/>
      <c r="AF111" s="528"/>
      <c r="AG111" s="528"/>
      <c r="AH111" s="528"/>
      <c r="AI111" s="528"/>
      <c r="AJ111" s="528"/>
      <c r="AK111" s="528"/>
      <c r="AL111" s="528"/>
      <c r="AM111" s="528"/>
      <c r="AN111" s="528"/>
      <c r="AO111" s="528"/>
      <c r="AP111" s="528"/>
      <c r="AQ111" s="528"/>
      <c r="AR111" s="528"/>
      <c r="AS111" s="528"/>
      <c r="AT111" s="528"/>
      <c r="AU111" s="528"/>
      <c r="AV111" s="528"/>
      <c r="AW111" s="528"/>
      <c r="AX111" s="528"/>
      <c r="AY111" s="528"/>
      <c r="AZ111" s="171"/>
      <c r="BB111" s="501"/>
      <c r="BC111" s="501"/>
      <c r="BD111" s="501"/>
      <c r="BE111" s="501"/>
      <c r="BF111" s="501"/>
      <c r="BG111" s="501"/>
      <c r="BH111" s="501"/>
      <c r="BI111" s="501"/>
      <c r="BJ111" s="501"/>
      <c r="BK111" s="501"/>
      <c r="BL111" s="501"/>
      <c r="BM111" s="501"/>
      <c r="BN111" s="146"/>
    </row>
    <row r="112" spans="1:98" ht="43.95" customHeight="1">
      <c r="B112" s="255" t="s">
        <v>166</v>
      </c>
      <c r="C112" s="361"/>
      <c r="D112" s="521" t="s">
        <v>138</v>
      </c>
      <c r="E112" s="521"/>
      <c r="F112" s="528" t="s">
        <v>144</v>
      </c>
      <c r="G112" s="528"/>
      <c r="H112" s="528"/>
      <c r="I112" s="528"/>
      <c r="J112" s="528"/>
      <c r="K112" s="528"/>
      <c r="L112" s="528"/>
      <c r="M112" s="528"/>
      <c r="N112" s="528"/>
      <c r="O112" s="528"/>
      <c r="P112" s="528"/>
      <c r="Q112" s="528"/>
      <c r="R112" s="528"/>
      <c r="S112" s="528"/>
      <c r="T112" s="528"/>
      <c r="U112" s="528"/>
      <c r="V112" s="528"/>
      <c r="W112" s="528"/>
      <c r="X112" s="528"/>
      <c r="Y112" s="528"/>
      <c r="Z112" s="528"/>
      <c r="AA112" s="528"/>
      <c r="AB112" s="528"/>
      <c r="AC112" s="528"/>
      <c r="AD112" s="528"/>
      <c r="AE112" s="528"/>
      <c r="AF112" s="528"/>
      <c r="AG112" s="528"/>
      <c r="AH112" s="528"/>
      <c r="AI112" s="528"/>
      <c r="AJ112" s="528"/>
      <c r="AK112" s="528"/>
      <c r="AL112" s="528"/>
      <c r="AM112" s="528"/>
      <c r="AN112" s="528"/>
      <c r="AO112" s="528"/>
      <c r="AP112" s="528"/>
      <c r="AQ112" s="528"/>
      <c r="AR112" s="528"/>
      <c r="AS112" s="528"/>
      <c r="AT112" s="528"/>
      <c r="AU112" s="528"/>
      <c r="AV112" s="528"/>
      <c r="AW112" s="528"/>
      <c r="AX112" s="528"/>
      <c r="AY112" s="528"/>
      <c r="AZ112" s="171"/>
      <c r="BB112" s="501"/>
      <c r="BC112" s="501"/>
      <c r="BD112" s="501"/>
      <c r="BE112" s="501"/>
      <c r="BF112" s="501"/>
      <c r="BG112" s="501"/>
      <c r="BH112" s="501"/>
      <c r="BI112" s="501"/>
      <c r="BJ112" s="501"/>
      <c r="BK112" s="501"/>
      <c r="BL112" s="501"/>
      <c r="BM112" s="501"/>
      <c r="BN112" s="146"/>
    </row>
    <row r="113" spans="1:65" s="297" customFormat="1" ht="85.2" customHeight="1">
      <c r="A113" s="294"/>
      <c r="B113" s="295"/>
      <c r="C113" s="357"/>
      <c r="D113" s="503" t="str">
        <f>IF(vstupne_udaje!$D$5="áno","11.","9.")</f>
        <v>9.</v>
      </c>
      <c r="E113" s="503"/>
      <c r="F113" s="504" t="s">
        <v>314</v>
      </c>
      <c r="G113" s="504"/>
      <c r="H113" s="504"/>
      <c r="I113" s="504"/>
      <c r="J113" s="504"/>
      <c r="K113" s="504"/>
      <c r="L113" s="504"/>
      <c r="M113" s="504"/>
      <c r="N113" s="504"/>
      <c r="O113" s="504"/>
      <c r="P113" s="504"/>
      <c r="Q113" s="504"/>
      <c r="R113" s="504"/>
      <c r="S113" s="504"/>
      <c r="T113" s="504"/>
      <c r="U113" s="504"/>
      <c r="V113" s="504"/>
      <c r="W113" s="504"/>
      <c r="X113" s="504"/>
      <c r="Y113" s="504"/>
      <c r="Z113" s="504"/>
      <c r="AA113" s="504"/>
      <c r="AB113" s="504"/>
      <c r="AC113" s="504"/>
      <c r="AD113" s="504"/>
      <c r="AE113" s="504"/>
      <c r="AF113" s="504"/>
      <c r="AG113" s="504"/>
      <c r="AH113" s="504"/>
      <c r="AI113" s="504"/>
      <c r="AJ113" s="504"/>
      <c r="AK113" s="504"/>
      <c r="AL113" s="504"/>
      <c r="AM113" s="504"/>
      <c r="AN113" s="504"/>
      <c r="AO113" s="504"/>
      <c r="AP113" s="504"/>
      <c r="AQ113" s="504"/>
      <c r="AR113" s="504"/>
      <c r="AS113" s="504"/>
      <c r="AT113" s="504"/>
      <c r="AU113" s="504"/>
      <c r="AV113" s="504"/>
      <c r="AW113" s="504"/>
      <c r="AX113" s="504"/>
      <c r="AY113" s="504"/>
      <c r="AZ113" s="185"/>
      <c r="BA113" s="296"/>
    </row>
    <row r="114" spans="1:65" s="297" customFormat="1" ht="46.5" customHeight="1">
      <c r="A114" s="294"/>
      <c r="B114" s="295" t="s">
        <v>166</v>
      </c>
      <c r="C114" s="298"/>
      <c r="D114" s="503" t="str">
        <f>IF(vstupne_udaje!$D$5="áno","12.","10.")</f>
        <v>10.</v>
      </c>
      <c r="E114" s="503"/>
      <c r="F114" s="504" t="s">
        <v>315</v>
      </c>
      <c r="G114" s="504"/>
      <c r="H114" s="504"/>
      <c r="I114" s="504"/>
      <c r="J114" s="504"/>
      <c r="K114" s="504"/>
      <c r="L114" s="504"/>
      <c r="M114" s="504"/>
      <c r="N114" s="504"/>
      <c r="O114" s="504"/>
      <c r="P114" s="504"/>
      <c r="Q114" s="504"/>
      <c r="R114" s="504"/>
      <c r="S114" s="504"/>
      <c r="T114" s="504"/>
      <c r="U114" s="504"/>
      <c r="V114" s="504"/>
      <c r="W114" s="504"/>
      <c r="X114" s="504"/>
      <c r="Y114" s="504"/>
      <c r="Z114" s="504"/>
      <c r="AA114" s="504"/>
      <c r="AB114" s="504"/>
      <c r="AC114" s="504"/>
      <c r="AD114" s="504"/>
      <c r="AE114" s="504"/>
      <c r="AF114" s="504"/>
      <c r="AG114" s="504"/>
      <c r="AH114" s="504"/>
      <c r="AI114" s="504"/>
      <c r="AJ114" s="504"/>
      <c r="AK114" s="504"/>
      <c r="AL114" s="504"/>
      <c r="AM114" s="504"/>
      <c r="AN114" s="504"/>
      <c r="AO114" s="504"/>
      <c r="AP114" s="504"/>
      <c r="AQ114" s="504"/>
      <c r="AR114" s="504"/>
      <c r="AS114" s="504"/>
      <c r="AT114" s="504"/>
      <c r="AU114" s="504"/>
      <c r="AV114" s="504"/>
      <c r="AW114" s="504"/>
      <c r="AX114" s="504"/>
      <c r="AY114" s="504"/>
      <c r="AZ114" s="185"/>
      <c r="BA114" s="296"/>
    </row>
    <row r="115" spans="1:65" s="297" customFormat="1" ht="13.8">
      <c r="A115" s="294"/>
      <c r="B115" s="295" t="s">
        <v>166</v>
      </c>
      <c r="C115" s="298"/>
      <c r="D115" s="522"/>
      <c r="E115" s="522"/>
      <c r="F115" s="522"/>
      <c r="G115" s="522"/>
      <c r="H115" s="522"/>
      <c r="I115" s="522"/>
      <c r="J115" s="522"/>
      <c r="K115" s="522"/>
      <c r="L115" s="522"/>
      <c r="M115" s="522"/>
      <c r="N115" s="522"/>
      <c r="O115" s="522"/>
      <c r="P115" s="522"/>
      <c r="Q115" s="522"/>
      <c r="R115" s="522"/>
      <c r="S115" s="522"/>
      <c r="T115" s="522"/>
      <c r="U115" s="522"/>
      <c r="V115" s="522"/>
      <c r="W115" s="522"/>
      <c r="X115" s="522"/>
      <c r="Y115" s="522"/>
      <c r="Z115" s="522"/>
      <c r="AA115" s="522"/>
      <c r="AB115" s="522"/>
      <c r="AC115" s="522"/>
      <c r="AD115" s="522"/>
      <c r="AE115" s="522"/>
      <c r="AF115" s="522"/>
      <c r="AG115" s="522"/>
      <c r="AH115" s="522"/>
      <c r="AI115" s="522"/>
      <c r="AJ115" s="522"/>
      <c r="AK115" s="522"/>
      <c r="AL115" s="522"/>
      <c r="AM115" s="522"/>
      <c r="AN115" s="522"/>
      <c r="AO115" s="522"/>
      <c r="AP115" s="522"/>
      <c r="AQ115" s="522"/>
      <c r="AR115" s="522"/>
      <c r="AS115" s="522"/>
      <c r="AT115" s="522"/>
      <c r="AU115" s="522"/>
      <c r="AV115" s="522"/>
      <c r="AW115" s="522"/>
      <c r="AX115" s="522"/>
      <c r="AY115" s="522"/>
      <c r="AZ115" s="185"/>
      <c r="BA115" s="296"/>
    </row>
    <row r="116" spans="1:65" s="297" customFormat="1" ht="13.8" hidden="1">
      <c r="A116" s="294"/>
      <c r="B116" s="295" t="s">
        <v>166</v>
      </c>
      <c r="C116" s="298"/>
      <c r="D116" s="523"/>
      <c r="E116" s="523"/>
      <c r="F116" s="523"/>
      <c r="G116" s="523"/>
      <c r="H116" s="523"/>
      <c r="I116" s="523"/>
      <c r="J116" s="523"/>
      <c r="K116" s="523"/>
      <c r="L116" s="523"/>
      <c r="M116" s="523"/>
      <c r="N116" s="523"/>
      <c r="O116" s="523"/>
      <c r="P116" s="523"/>
      <c r="Q116" s="523"/>
      <c r="R116" s="523"/>
      <c r="S116" s="523"/>
      <c r="T116" s="523"/>
      <c r="U116" s="523"/>
      <c r="V116" s="523"/>
      <c r="W116" s="523"/>
      <c r="X116" s="523"/>
      <c r="Y116" s="523"/>
      <c r="Z116" s="523"/>
      <c r="AA116" s="523"/>
      <c r="AB116" s="523"/>
      <c r="AC116" s="523"/>
      <c r="AD116" s="523"/>
      <c r="AE116" s="523"/>
      <c r="AF116" s="523"/>
      <c r="AG116" s="523"/>
      <c r="AH116" s="523"/>
      <c r="AI116" s="523"/>
      <c r="AJ116" s="523"/>
      <c r="AK116" s="523"/>
      <c r="AL116" s="523"/>
      <c r="AM116" s="523"/>
      <c r="AN116" s="523"/>
      <c r="AO116" s="523"/>
      <c r="AP116" s="523"/>
      <c r="AQ116" s="523"/>
      <c r="AR116" s="523"/>
      <c r="AS116" s="523"/>
      <c r="AT116" s="523"/>
      <c r="AU116" s="523"/>
      <c r="AV116" s="523"/>
      <c r="AW116" s="523"/>
      <c r="AX116" s="523"/>
      <c r="AY116" s="523"/>
      <c r="AZ116" s="185"/>
      <c r="BA116" s="296"/>
    </row>
    <row r="117" spans="1:65" s="297" customFormat="1" ht="13.8" hidden="1">
      <c r="A117" s="294"/>
      <c r="B117" s="295" t="s">
        <v>166</v>
      </c>
      <c r="C117" s="298"/>
      <c r="D117" s="503"/>
      <c r="E117" s="503"/>
      <c r="F117" s="504"/>
      <c r="G117" s="504"/>
      <c r="H117" s="504"/>
      <c r="I117" s="504"/>
      <c r="J117" s="504"/>
      <c r="K117" s="504"/>
      <c r="L117" s="504"/>
      <c r="M117" s="504"/>
      <c r="N117" s="504"/>
      <c r="O117" s="504"/>
      <c r="P117" s="504"/>
      <c r="Q117" s="504"/>
      <c r="R117" s="504"/>
      <c r="S117" s="504"/>
      <c r="T117" s="504"/>
      <c r="U117" s="504"/>
      <c r="V117" s="504"/>
      <c r="W117" s="504"/>
      <c r="X117" s="504"/>
      <c r="Y117" s="504"/>
      <c r="Z117" s="504"/>
      <c r="AA117" s="504"/>
      <c r="AB117" s="504"/>
      <c r="AC117" s="504"/>
      <c r="AD117" s="504"/>
      <c r="AE117" s="504"/>
      <c r="AF117" s="504"/>
      <c r="AG117" s="504"/>
      <c r="AH117" s="504"/>
      <c r="AI117" s="504"/>
      <c r="AJ117" s="504"/>
      <c r="AK117" s="504"/>
      <c r="AL117" s="504"/>
      <c r="AM117" s="504"/>
      <c r="AN117" s="504"/>
      <c r="AO117" s="504"/>
      <c r="AP117" s="504"/>
      <c r="AQ117" s="504"/>
      <c r="AR117" s="504"/>
      <c r="AS117" s="504"/>
      <c r="AT117" s="504"/>
      <c r="AU117" s="504"/>
      <c r="AV117" s="504"/>
      <c r="AW117" s="504"/>
      <c r="AX117" s="504"/>
      <c r="AY117" s="504"/>
      <c r="AZ117" s="185"/>
      <c r="BA117" s="296"/>
    </row>
    <row r="118" spans="1:65" s="297" customFormat="1" ht="13.8" hidden="1">
      <c r="A118" s="294"/>
      <c r="B118" s="295" t="s">
        <v>166</v>
      </c>
      <c r="C118" s="298"/>
      <c r="D118" s="524"/>
      <c r="E118" s="524"/>
      <c r="F118" s="525" t="s">
        <v>324</v>
      </c>
      <c r="G118" s="526"/>
      <c r="H118" s="526"/>
      <c r="I118" s="526"/>
      <c r="J118" s="526"/>
      <c r="K118" s="526"/>
      <c r="L118" s="526"/>
      <c r="M118" s="526"/>
      <c r="N118" s="526"/>
      <c r="O118" s="526"/>
      <c r="P118" s="526"/>
      <c r="Q118" s="526"/>
      <c r="R118" s="526"/>
      <c r="S118" s="526"/>
      <c r="T118" s="526"/>
      <c r="U118" s="526"/>
      <c r="V118" s="526"/>
      <c r="W118" s="526"/>
      <c r="X118" s="526"/>
      <c r="Y118" s="526"/>
      <c r="Z118" s="526"/>
      <c r="AA118" s="526"/>
      <c r="AB118" s="526"/>
      <c r="AC118" s="526"/>
      <c r="AD118" s="526"/>
      <c r="AE118" s="526"/>
      <c r="AF118" s="526"/>
      <c r="AG118" s="526"/>
      <c r="AH118" s="526"/>
      <c r="AI118" s="526"/>
      <c r="AJ118" s="526"/>
      <c r="AK118" s="526"/>
      <c r="AL118" s="526"/>
      <c r="AM118" s="526"/>
      <c r="AN118" s="526"/>
      <c r="AO118" s="526"/>
      <c r="AP118" s="526"/>
      <c r="AQ118" s="526"/>
      <c r="AR118" s="526"/>
      <c r="AS118" s="526"/>
      <c r="AT118" s="526"/>
      <c r="AU118" s="526"/>
      <c r="AV118" s="526"/>
      <c r="AW118" s="526"/>
      <c r="AX118" s="526"/>
      <c r="AY118" s="526"/>
      <c r="AZ118" s="185"/>
      <c r="BA118" s="296"/>
    </row>
    <row r="119" spans="1:65" s="297" customFormat="1" ht="13.8" hidden="1">
      <c r="A119" s="294"/>
      <c r="B119" s="295" t="s">
        <v>166</v>
      </c>
      <c r="C119" s="298"/>
      <c r="D119" s="524" t="s">
        <v>237</v>
      </c>
      <c r="E119" s="524"/>
      <c r="F119" s="524"/>
      <c r="G119" s="524"/>
      <c r="H119" s="524"/>
      <c r="I119" s="524"/>
      <c r="J119" s="524"/>
      <c r="K119" s="524"/>
      <c r="L119" s="524"/>
      <c r="M119" s="524"/>
      <c r="N119" s="524"/>
      <c r="O119" s="524"/>
      <c r="P119" s="524"/>
      <c r="Q119" s="524"/>
      <c r="R119" s="524"/>
      <c r="S119" s="524"/>
      <c r="T119" s="524"/>
      <c r="U119" s="524"/>
      <c r="V119" s="524"/>
      <c r="W119" s="524"/>
      <c r="X119" s="524"/>
      <c r="Y119" s="524"/>
      <c r="Z119" s="524"/>
      <c r="AA119" s="524"/>
      <c r="AB119" s="524"/>
      <c r="AC119" s="524"/>
      <c r="AD119" s="524"/>
      <c r="AE119" s="524"/>
      <c r="AF119" s="524"/>
      <c r="AG119" s="524"/>
      <c r="AH119" s="524"/>
      <c r="AI119" s="524"/>
      <c r="AJ119" s="524"/>
      <c r="AK119" s="524"/>
      <c r="AL119" s="524"/>
      <c r="AM119" s="524"/>
      <c r="AN119" s="524"/>
      <c r="AO119" s="524"/>
      <c r="AP119" s="524"/>
      <c r="AQ119" s="524"/>
      <c r="AR119" s="524"/>
      <c r="AS119" s="524"/>
      <c r="AT119" s="524"/>
      <c r="AU119" s="524"/>
      <c r="AV119" s="524"/>
      <c r="AW119" s="524"/>
      <c r="AX119" s="524"/>
      <c r="AY119" s="524"/>
      <c r="AZ119" s="185"/>
      <c r="BA119" s="296"/>
    </row>
    <row r="120" spans="1:65" s="297" customFormat="1" ht="13.8" hidden="1">
      <c r="A120" s="294"/>
      <c r="B120" s="295" t="s">
        <v>166</v>
      </c>
      <c r="C120" s="298"/>
      <c r="D120" s="529" t="s">
        <v>26</v>
      </c>
      <c r="E120" s="529"/>
      <c r="F120" s="412"/>
      <c r="G120" s="412"/>
      <c r="H120" s="412"/>
      <c r="I120" s="412"/>
      <c r="J120" s="412"/>
      <c r="K120" s="412"/>
      <c r="L120" s="412"/>
      <c r="M120" s="412"/>
      <c r="N120" s="412"/>
      <c r="O120" s="412"/>
      <c r="P120" s="413"/>
      <c r="Q120" s="413"/>
      <c r="R120" s="413"/>
      <c r="S120" s="413"/>
      <c r="T120" s="413"/>
      <c r="U120" s="413"/>
      <c r="V120" s="413"/>
      <c r="W120" s="413"/>
      <c r="X120" s="413"/>
      <c r="Y120" s="413"/>
      <c r="Z120" s="413"/>
      <c r="AA120" s="413"/>
      <c r="AB120" s="413"/>
      <c r="AC120" s="413"/>
      <c r="AD120" s="413"/>
      <c r="AE120" s="413"/>
      <c r="AF120" s="413"/>
      <c r="AG120" s="413"/>
      <c r="AH120" s="413"/>
      <c r="AI120" s="413"/>
      <c r="AJ120" s="413"/>
      <c r="AK120" s="413"/>
      <c r="AL120" s="413"/>
      <c r="AM120" s="413"/>
      <c r="AN120" s="413"/>
      <c r="AO120" s="413"/>
      <c r="AP120" s="413"/>
      <c r="AQ120" s="413"/>
      <c r="AR120" s="413"/>
      <c r="AS120" s="413"/>
      <c r="AT120" s="413"/>
      <c r="AU120" s="413"/>
      <c r="AV120" s="413"/>
      <c r="AW120" s="413"/>
      <c r="AX120" s="413"/>
      <c r="AY120" s="413"/>
      <c r="AZ120" s="185"/>
      <c r="BA120" s="296"/>
    </row>
    <row r="121" spans="1:65" s="297" customFormat="1" ht="13.8" hidden="1">
      <c r="A121" s="294"/>
      <c r="B121" s="295"/>
      <c r="C121" s="298"/>
      <c r="D121" s="360"/>
      <c r="E121" s="360"/>
      <c r="F121" s="298"/>
      <c r="G121" s="298"/>
      <c r="H121" s="298"/>
      <c r="I121" s="298"/>
      <c r="J121" s="298"/>
      <c r="K121" s="298"/>
      <c r="L121" s="298"/>
      <c r="M121" s="298"/>
      <c r="N121" s="298"/>
      <c r="O121" s="298"/>
      <c r="P121" s="373"/>
      <c r="Q121" s="373"/>
      <c r="R121" s="373"/>
      <c r="S121" s="373"/>
      <c r="T121" s="373"/>
      <c r="U121" s="373"/>
      <c r="V121" s="373"/>
      <c r="W121" s="373"/>
      <c r="X121" s="373"/>
      <c r="Y121" s="373"/>
      <c r="Z121" s="373"/>
      <c r="AA121" s="373"/>
      <c r="AB121" s="373"/>
      <c r="AC121" s="373"/>
      <c r="AD121" s="373"/>
      <c r="AE121" s="373"/>
      <c r="AF121" s="373"/>
      <c r="AG121" s="373"/>
      <c r="AH121" s="373"/>
      <c r="AI121" s="373"/>
      <c r="AJ121" s="373"/>
      <c r="AK121" s="373"/>
      <c r="AL121" s="373"/>
      <c r="AM121" s="373"/>
      <c r="AN121" s="373"/>
      <c r="AO121" s="373"/>
      <c r="AP121" s="373"/>
      <c r="AQ121" s="373"/>
      <c r="AR121" s="373"/>
      <c r="AS121" s="373"/>
      <c r="AT121" s="373"/>
      <c r="AU121" s="373"/>
      <c r="AV121" s="373"/>
      <c r="AW121" s="373"/>
      <c r="AX121" s="373"/>
      <c r="AY121" s="373"/>
      <c r="AZ121" s="185"/>
      <c r="BA121" s="296"/>
    </row>
    <row r="122" spans="1:65" s="297" customFormat="1" ht="13.8" hidden="1">
      <c r="A122" s="294"/>
      <c r="B122" s="295"/>
      <c r="C122" s="298"/>
      <c r="D122" s="360"/>
      <c r="E122" s="360"/>
      <c r="F122" s="298"/>
      <c r="G122" s="298"/>
      <c r="H122" s="298"/>
      <c r="I122" s="298"/>
      <c r="J122" s="298"/>
      <c r="K122" s="298"/>
      <c r="L122" s="298"/>
      <c r="M122" s="298"/>
      <c r="N122" s="298"/>
      <c r="O122" s="298"/>
      <c r="P122" s="373"/>
      <c r="Q122" s="373"/>
      <c r="R122" s="373"/>
      <c r="S122" s="373"/>
      <c r="T122" s="373"/>
      <c r="U122" s="373"/>
      <c r="V122" s="373"/>
      <c r="W122" s="373"/>
      <c r="X122" s="373"/>
      <c r="Y122" s="373"/>
      <c r="Z122" s="373"/>
      <c r="AA122" s="373"/>
      <c r="AB122" s="373"/>
      <c r="AC122" s="373"/>
      <c r="AD122" s="373"/>
      <c r="AE122" s="373"/>
      <c r="AF122" s="373"/>
      <c r="AG122" s="373"/>
      <c r="AH122" s="373"/>
      <c r="AI122" s="373"/>
      <c r="AJ122" s="373"/>
      <c r="AK122" s="373"/>
      <c r="AL122" s="373"/>
      <c r="AM122" s="373"/>
      <c r="AN122" s="373"/>
      <c r="AO122" s="373"/>
      <c r="AP122" s="373"/>
      <c r="AQ122" s="373"/>
      <c r="AR122" s="373"/>
      <c r="AS122" s="373"/>
      <c r="AT122" s="373"/>
      <c r="AU122" s="373"/>
      <c r="AV122" s="373"/>
      <c r="AW122" s="373"/>
      <c r="AX122" s="373"/>
      <c r="AY122" s="373"/>
      <c r="AZ122" s="185"/>
      <c r="BA122" s="296"/>
    </row>
    <row r="123" spans="1:65" s="297" customFormat="1" ht="13.8" hidden="1">
      <c r="A123" s="294"/>
      <c r="B123" s="295"/>
      <c r="C123" s="298"/>
      <c r="D123" s="360"/>
      <c r="E123" s="360"/>
      <c r="F123" s="298"/>
      <c r="G123" s="298"/>
      <c r="H123" s="298"/>
      <c r="I123" s="298"/>
      <c r="J123" s="298"/>
      <c r="K123" s="298"/>
      <c r="L123" s="298"/>
      <c r="M123" s="298"/>
      <c r="N123" s="298"/>
      <c r="O123" s="298"/>
      <c r="P123" s="373"/>
      <c r="Q123" s="373"/>
      <c r="R123" s="373"/>
      <c r="S123" s="373"/>
      <c r="T123" s="373"/>
      <c r="U123" s="373"/>
      <c r="V123" s="373"/>
      <c r="W123" s="373"/>
      <c r="X123" s="373"/>
      <c r="Y123" s="373"/>
      <c r="Z123" s="373"/>
      <c r="AA123" s="373"/>
      <c r="AB123" s="373"/>
      <c r="AC123" s="373"/>
      <c r="AD123" s="373"/>
      <c r="AE123" s="373"/>
      <c r="AF123" s="373"/>
      <c r="AG123" s="373"/>
      <c r="AH123" s="373"/>
      <c r="AI123" s="373"/>
      <c r="AJ123" s="373"/>
      <c r="AK123" s="373"/>
      <c r="AL123" s="373"/>
      <c r="AM123" s="373"/>
      <c r="AN123" s="373"/>
      <c r="AO123" s="373"/>
      <c r="AP123" s="373"/>
      <c r="AQ123" s="373"/>
      <c r="AR123" s="373"/>
      <c r="AS123" s="373"/>
      <c r="AT123" s="373"/>
      <c r="AU123" s="373"/>
      <c r="AV123" s="373"/>
      <c r="AW123" s="373"/>
      <c r="AX123" s="373"/>
      <c r="AY123" s="373"/>
      <c r="AZ123" s="185"/>
      <c r="BA123" s="296"/>
    </row>
    <row r="124" spans="1:65" s="297" customFormat="1" ht="13.8">
      <c r="A124" s="294"/>
      <c r="B124" s="295"/>
      <c r="C124" s="298"/>
      <c r="D124" s="360"/>
      <c r="E124" s="360"/>
      <c r="F124" s="298"/>
      <c r="G124" s="298"/>
      <c r="H124" s="298"/>
      <c r="I124" s="298"/>
      <c r="J124" s="298"/>
      <c r="K124" s="298"/>
      <c r="L124" s="298"/>
      <c r="M124" s="298"/>
      <c r="N124" s="298"/>
      <c r="O124" s="298"/>
      <c r="P124" s="373"/>
      <c r="Q124" s="373"/>
      <c r="R124" s="373"/>
      <c r="S124" s="373"/>
      <c r="T124" s="373"/>
      <c r="U124" s="373"/>
      <c r="V124" s="373"/>
      <c r="W124" s="373"/>
      <c r="X124" s="373"/>
      <c r="Y124" s="373"/>
      <c r="Z124" s="373"/>
      <c r="AA124" s="373"/>
      <c r="AB124" s="373"/>
      <c r="AC124" s="373"/>
      <c r="AD124" s="373"/>
      <c r="AE124" s="373"/>
      <c r="AF124" s="373"/>
      <c r="AG124" s="373"/>
      <c r="AH124" s="373"/>
      <c r="AI124" s="373"/>
      <c r="AJ124" s="373"/>
      <c r="AK124" s="373"/>
      <c r="AL124" s="373"/>
      <c r="AM124" s="373"/>
      <c r="AN124" s="373"/>
      <c r="AO124" s="373"/>
      <c r="AP124" s="373"/>
      <c r="AQ124" s="373"/>
      <c r="AR124" s="373"/>
      <c r="AS124" s="373"/>
      <c r="AT124" s="373"/>
      <c r="AU124" s="373"/>
      <c r="AV124" s="373"/>
      <c r="AW124" s="373"/>
      <c r="AX124" s="373"/>
      <c r="AY124" s="373"/>
      <c r="AZ124" s="185"/>
      <c r="BA124" s="296"/>
    </row>
    <row r="125" spans="1:65" s="297" customFormat="1" ht="13.8">
      <c r="A125" s="294"/>
      <c r="B125" s="295"/>
      <c r="C125" s="298"/>
      <c r="D125" s="522" t="s">
        <v>146</v>
      </c>
      <c r="E125" s="522"/>
      <c r="F125" s="522"/>
      <c r="G125" s="522"/>
      <c r="H125" s="522"/>
      <c r="I125" s="522"/>
      <c r="J125" s="522"/>
      <c r="K125" s="522"/>
      <c r="L125" s="522"/>
      <c r="M125" s="522"/>
      <c r="N125" s="522"/>
      <c r="O125" s="522"/>
      <c r="P125" s="522"/>
      <c r="Q125" s="522"/>
      <c r="R125" s="522"/>
      <c r="S125" s="522"/>
      <c r="T125" s="522"/>
      <c r="U125" s="522"/>
      <c r="V125" s="522"/>
      <c r="W125" s="522"/>
      <c r="X125" s="522"/>
      <c r="Y125" s="522"/>
      <c r="Z125" s="522"/>
      <c r="AA125" s="522"/>
      <c r="AB125" s="522"/>
      <c r="AC125" s="522"/>
      <c r="AD125" s="522"/>
      <c r="AE125" s="522"/>
      <c r="AF125" s="522"/>
      <c r="AG125" s="522"/>
      <c r="AH125" s="522"/>
      <c r="AI125" s="522"/>
      <c r="AJ125" s="522"/>
      <c r="AK125" s="522"/>
      <c r="AL125" s="522"/>
      <c r="AM125" s="522"/>
      <c r="AN125" s="522"/>
      <c r="AO125" s="522"/>
      <c r="AP125" s="522"/>
      <c r="AQ125" s="522"/>
      <c r="AR125" s="522"/>
      <c r="AS125" s="522"/>
      <c r="AT125" s="522"/>
      <c r="AU125" s="522"/>
      <c r="AV125" s="522"/>
      <c r="AW125" s="522"/>
      <c r="AX125" s="522"/>
      <c r="AY125" s="522"/>
      <c r="AZ125" s="185"/>
      <c r="BA125" s="296"/>
    </row>
    <row r="126" spans="1:65" ht="58.95" customHeight="1">
      <c r="C126" s="176"/>
      <c r="D126" s="527" t="s">
        <v>26</v>
      </c>
      <c r="E126" s="527"/>
      <c r="F126" s="528" t="s">
        <v>327</v>
      </c>
      <c r="G126" s="528"/>
      <c r="H126" s="528"/>
      <c r="I126" s="528"/>
      <c r="J126" s="528"/>
      <c r="K126" s="528"/>
      <c r="L126" s="528"/>
      <c r="M126" s="528"/>
      <c r="N126" s="528"/>
      <c r="O126" s="528"/>
      <c r="P126" s="528"/>
      <c r="Q126" s="528"/>
      <c r="R126" s="528"/>
      <c r="S126" s="528"/>
      <c r="T126" s="528"/>
      <c r="U126" s="528"/>
      <c r="V126" s="528"/>
      <c r="W126" s="528"/>
      <c r="X126" s="528"/>
      <c r="Y126" s="528"/>
      <c r="Z126" s="528"/>
      <c r="AA126" s="528"/>
      <c r="AB126" s="528"/>
      <c r="AC126" s="528"/>
      <c r="AD126" s="528"/>
      <c r="AE126" s="528"/>
      <c r="AF126" s="528"/>
      <c r="AG126" s="528"/>
      <c r="AH126" s="528"/>
      <c r="AI126" s="528"/>
      <c r="AJ126" s="528"/>
      <c r="AK126" s="528"/>
      <c r="AL126" s="528"/>
      <c r="AM126" s="528"/>
      <c r="AN126" s="528"/>
      <c r="AO126" s="528"/>
      <c r="AP126" s="528"/>
      <c r="AQ126" s="528"/>
      <c r="AR126" s="528"/>
      <c r="AS126" s="528"/>
      <c r="AT126" s="528"/>
      <c r="AU126" s="528"/>
      <c r="AV126" s="528"/>
      <c r="AW126" s="528"/>
      <c r="AX126" s="528"/>
      <c r="AY126" s="528"/>
      <c r="AZ126" s="171"/>
      <c r="BA126" s="293"/>
      <c r="BB126" s="501"/>
      <c r="BC126" s="501"/>
      <c r="BD126" s="501"/>
      <c r="BE126" s="501"/>
      <c r="BF126" s="501"/>
      <c r="BG126" s="501"/>
      <c r="BH126" s="501"/>
      <c r="BI126" s="501"/>
      <c r="BJ126" s="501"/>
      <c r="BK126" s="501"/>
      <c r="BL126" s="501"/>
      <c r="BM126" s="501"/>
    </row>
    <row r="127" spans="1:65" ht="43.2" customHeight="1">
      <c r="B127" s="255" t="s">
        <v>166</v>
      </c>
      <c r="C127" s="176"/>
      <c r="D127" s="521" t="s">
        <v>27</v>
      </c>
      <c r="E127" s="521"/>
      <c r="F127" s="504" t="s">
        <v>297</v>
      </c>
      <c r="G127" s="504"/>
      <c r="H127" s="504"/>
      <c r="I127" s="504"/>
      <c r="J127" s="504"/>
      <c r="K127" s="504"/>
      <c r="L127" s="504"/>
      <c r="M127" s="504"/>
      <c r="N127" s="504"/>
      <c r="O127" s="504"/>
      <c r="P127" s="504"/>
      <c r="Q127" s="504"/>
      <c r="R127" s="504"/>
      <c r="S127" s="504"/>
      <c r="T127" s="504"/>
      <c r="U127" s="504"/>
      <c r="V127" s="504"/>
      <c r="W127" s="504"/>
      <c r="X127" s="504"/>
      <c r="Y127" s="504"/>
      <c r="Z127" s="504"/>
      <c r="AA127" s="504"/>
      <c r="AB127" s="504"/>
      <c r="AC127" s="504"/>
      <c r="AD127" s="504"/>
      <c r="AE127" s="504"/>
      <c r="AF127" s="504"/>
      <c r="AG127" s="504"/>
      <c r="AH127" s="504"/>
      <c r="AI127" s="504"/>
      <c r="AJ127" s="504"/>
      <c r="AK127" s="504"/>
      <c r="AL127" s="504"/>
      <c r="AM127" s="504"/>
      <c r="AN127" s="504"/>
      <c r="AO127" s="504"/>
      <c r="AP127" s="504"/>
      <c r="AQ127" s="504"/>
      <c r="AR127" s="504"/>
      <c r="AS127" s="504"/>
      <c r="AT127" s="504"/>
      <c r="AU127" s="504"/>
      <c r="AV127" s="504"/>
      <c r="AW127" s="504"/>
      <c r="AX127" s="504"/>
      <c r="AY127" s="504"/>
      <c r="AZ127" s="171"/>
      <c r="BB127" s="501"/>
      <c r="BC127" s="501"/>
      <c r="BD127" s="501"/>
      <c r="BE127" s="501"/>
      <c r="BF127" s="501"/>
      <c r="BG127" s="501"/>
      <c r="BH127" s="501"/>
      <c r="BI127" s="501"/>
      <c r="BJ127" s="501"/>
      <c r="BK127" s="501"/>
      <c r="BL127" s="501"/>
      <c r="BM127" s="501"/>
    </row>
    <row r="128" spans="1:65" ht="43.5" customHeight="1">
      <c r="B128" s="255" t="s">
        <v>166</v>
      </c>
      <c r="C128" s="176"/>
      <c r="D128" s="503" t="s">
        <v>129</v>
      </c>
      <c r="E128" s="503"/>
      <c r="F128" s="504" t="s">
        <v>231</v>
      </c>
      <c r="G128" s="504"/>
      <c r="H128" s="504"/>
      <c r="I128" s="504"/>
      <c r="J128" s="504"/>
      <c r="K128" s="504"/>
      <c r="L128" s="504"/>
      <c r="M128" s="504"/>
      <c r="N128" s="504"/>
      <c r="O128" s="504"/>
      <c r="P128" s="504"/>
      <c r="Q128" s="504"/>
      <c r="R128" s="504"/>
      <c r="S128" s="504"/>
      <c r="T128" s="504"/>
      <c r="U128" s="504"/>
      <c r="V128" s="504"/>
      <c r="W128" s="504"/>
      <c r="X128" s="504"/>
      <c r="Y128" s="504"/>
      <c r="Z128" s="504"/>
      <c r="AA128" s="504"/>
      <c r="AB128" s="504"/>
      <c r="AC128" s="504"/>
      <c r="AD128" s="504"/>
      <c r="AE128" s="504"/>
      <c r="AF128" s="504"/>
      <c r="AG128" s="504"/>
      <c r="AH128" s="504"/>
      <c r="AI128" s="504"/>
      <c r="AJ128" s="504"/>
      <c r="AK128" s="504"/>
      <c r="AL128" s="504"/>
      <c r="AM128" s="504"/>
      <c r="AN128" s="504"/>
      <c r="AO128" s="504"/>
      <c r="AP128" s="504"/>
      <c r="AQ128" s="504"/>
      <c r="AR128" s="504"/>
      <c r="AS128" s="504"/>
      <c r="AT128" s="504"/>
      <c r="AU128" s="504"/>
      <c r="AV128" s="504"/>
      <c r="AW128" s="504"/>
      <c r="AX128" s="504"/>
      <c r="AY128" s="504"/>
      <c r="AZ128" s="171"/>
      <c r="BB128" s="501"/>
      <c r="BC128" s="501"/>
      <c r="BD128" s="501"/>
      <c r="BE128" s="501"/>
      <c r="BF128" s="501"/>
      <c r="BG128" s="501"/>
      <c r="BH128" s="501"/>
      <c r="BI128" s="501"/>
      <c r="BJ128" s="501"/>
      <c r="BK128" s="501"/>
      <c r="BL128" s="501"/>
      <c r="BM128" s="501"/>
    </row>
    <row r="129" spans="1:65" ht="21.75" customHeight="1">
      <c r="C129" s="176"/>
      <c r="D129" s="176"/>
      <c r="E129" s="176"/>
      <c r="F129" s="176"/>
      <c r="G129" s="176"/>
      <c r="H129" s="176"/>
      <c r="I129" s="176"/>
      <c r="J129" s="176"/>
      <c r="K129" s="176"/>
      <c r="L129" s="176"/>
      <c r="M129" s="176"/>
      <c r="N129" s="176"/>
      <c r="O129" s="176"/>
      <c r="P129" s="183"/>
      <c r="Q129" s="183"/>
      <c r="R129" s="183"/>
      <c r="S129" s="183"/>
      <c r="T129" s="183"/>
      <c r="U129" s="183"/>
      <c r="V129" s="183"/>
      <c r="W129" s="183"/>
      <c r="X129" s="183"/>
      <c r="Y129" s="183"/>
      <c r="Z129" s="183"/>
      <c r="AA129" s="183"/>
      <c r="AB129" s="183"/>
      <c r="AC129" s="183"/>
      <c r="AD129" s="183"/>
      <c r="AE129" s="183"/>
      <c r="AF129" s="183"/>
      <c r="AG129" s="183"/>
      <c r="AH129" s="183"/>
      <c r="AI129" s="183"/>
      <c r="AJ129" s="183"/>
      <c r="AK129" s="183"/>
      <c r="AL129" s="183"/>
      <c r="AM129" s="183"/>
      <c r="AN129" s="183"/>
      <c r="AO129" s="183"/>
      <c r="AP129" s="183"/>
      <c r="AQ129" s="183"/>
      <c r="AR129" s="183"/>
      <c r="AS129" s="183"/>
      <c r="AT129" s="183"/>
      <c r="AU129" s="183"/>
      <c r="AV129" s="183"/>
      <c r="AW129" s="183"/>
      <c r="AX129" s="183"/>
      <c r="AY129" s="183"/>
      <c r="AZ129" s="171"/>
      <c r="BB129" s="501"/>
      <c r="BC129" s="501"/>
      <c r="BD129" s="501"/>
      <c r="BE129" s="501"/>
      <c r="BF129" s="501"/>
      <c r="BG129" s="501"/>
      <c r="BH129" s="501"/>
      <c r="BI129" s="501"/>
      <c r="BJ129" s="501"/>
      <c r="BK129" s="501"/>
      <c r="BL129" s="501"/>
      <c r="BM129" s="501"/>
    </row>
    <row r="130" spans="1:65" ht="21.75" customHeight="1">
      <c r="C130" s="183"/>
      <c r="D130" s="183"/>
      <c r="E130" s="183"/>
      <c r="F130" s="183"/>
      <c r="G130" s="183"/>
      <c r="H130" s="183"/>
      <c r="I130" s="183"/>
      <c r="J130" s="183"/>
      <c r="K130" s="183"/>
      <c r="L130" s="183"/>
      <c r="M130" s="183"/>
      <c r="N130" s="183"/>
      <c r="O130" s="183"/>
      <c r="P130" s="183"/>
      <c r="Q130" s="183"/>
      <c r="R130" s="183"/>
      <c r="S130" s="183"/>
      <c r="T130" s="183"/>
      <c r="U130" s="183"/>
      <c r="V130" s="183"/>
      <c r="W130" s="183"/>
      <c r="X130" s="183"/>
      <c r="Y130" s="183"/>
      <c r="Z130" s="183"/>
      <c r="AA130" s="183"/>
      <c r="AB130" s="183"/>
      <c r="AC130" s="183"/>
      <c r="AD130" s="183"/>
      <c r="AE130" s="183"/>
      <c r="AF130" s="183"/>
      <c r="AG130" s="183"/>
      <c r="AH130" s="183"/>
      <c r="AI130" s="183"/>
      <c r="AJ130" s="183"/>
      <c r="AK130" s="183"/>
      <c r="AL130" s="183"/>
      <c r="AM130" s="183"/>
      <c r="AN130" s="183"/>
      <c r="AO130" s="183"/>
      <c r="AP130" s="183"/>
      <c r="AQ130" s="183"/>
      <c r="AR130" s="183"/>
      <c r="AS130" s="183"/>
      <c r="AT130" s="183"/>
      <c r="AU130" s="183"/>
      <c r="AV130" s="183"/>
      <c r="AW130" s="183"/>
      <c r="AX130" s="183"/>
      <c r="AY130" s="183"/>
      <c r="AZ130" s="171"/>
      <c r="BB130" s="501"/>
      <c r="BC130" s="501"/>
      <c r="BD130" s="501"/>
      <c r="BE130" s="501"/>
      <c r="BF130" s="501"/>
      <c r="BG130" s="501"/>
      <c r="BH130" s="501"/>
      <c r="BI130" s="501"/>
      <c r="BJ130" s="501"/>
      <c r="BK130" s="501"/>
      <c r="BL130" s="501"/>
      <c r="BM130" s="501"/>
    </row>
    <row r="131" spans="1:65" ht="21.75" customHeight="1">
      <c r="C131" s="519" t="str">
        <f>IF(AND(vstupne_udaje!D41=" V (názov obce/mesta)",vstupne_udaje!D42="DD.MM.YYYY"),"V ................................... , dňa ..............",IF(OR(vstupne_udaje!D43="",vstupne_udaje!D43="hh:mm"),CONCATENATE(vstupne_udaje!D41,", dňa ",TEXT(vstupne_udaje!D42,"dd.mm.yyyy")),CONCATENATE(vstupne_udaje!D41,", dňa ",TEXT(vstupne_udaje!D42,"dd.mm.yyyy")," o ",TEXT(vstupne_udaje!D43,"hh:mm")," hod.")))</f>
        <v>V ................................... , dňa ..............</v>
      </c>
      <c r="D131" s="519"/>
      <c r="E131" s="519"/>
      <c r="F131" s="519"/>
      <c r="G131" s="519"/>
      <c r="H131" s="519"/>
      <c r="I131" s="519"/>
      <c r="J131" s="519"/>
      <c r="K131" s="519"/>
      <c r="L131" s="519"/>
      <c r="M131" s="519"/>
      <c r="N131" s="519"/>
      <c r="O131" s="519"/>
      <c r="P131" s="519"/>
      <c r="Q131" s="519"/>
      <c r="R131" s="519"/>
      <c r="S131" s="519"/>
      <c r="T131" s="519"/>
      <c r="U131" s="519"/>
      <c r="V131" s="519"/>
      <c r="W131" s="519"/>
      <c r="X131" s="519"/>
      <c r="Y131" s="519"/>
      <c r="Z131" s="519"/>
      <c r="AA131" s="519"/>
      <c r="AB131" s="183"/>
      <c r="AC131" s="519" t="str">
        <f>IF(AND(vstupne_udaje!D45=" V (názov obce/mesta)",vstupne_udaje!D46="DD.MM.YYYY"),"V ................................... , dňa ..............",IF(OR(vstupne_udaje!D47="",vstupne_udaje!D47="hh:mm"),CONCATENATE(vstupne_udaje!D45,", dňa ",TEXT(vstupne_udaje!D46,"dd.mm.yyyy")),CONCATENATE(vstupne_udaje!D45,", dňa ",TEXT(vstupne_udaje!D46,"dd.mm.yyyy")," o ",TEXT(vstupne_udaje!D47,"hh:mm")," hod.")))</f>
        <v>V ................................... , dňa ..............</v>
      </c>
      <c r="AD131" s="519"/>
      <c r="AE131" s="519"/>
      <c r="AF131" s="519"/>
      <c r="AG131" s="519"/>
      <c r="AH131" s="519"/>
      <c r="AI131" s="519"/>
      <c r="AJ131" s="519"/>
      <c r="AK131" s="519"/>
      <c r="AL131" s="519"/>
      <c r="AM131" s="519"/>
      <c r="AN131" s="519"/>
      <c r="AO131" s="519"/>
      <c r="AP131" s="519"/>
      <c r="AQ131" s="519"/>
      <c r="AR131" s="519"/>
      <c r="AS131" s="519"/>
      <c r="AT131" s="519"/>
      <c r="AU131" s="519"/>
      <c r="AV131" s="519"/>
      <c r="AW131" s="519"/>
      <c r="AX131" s="519"/>
      <c r="AY131" s="519"/>
      <c r="AZ131" s="171"/>
      <c r="BB131" s="501"/>
      <c r="BC131" s="501"/>
      <c r="BD131" s="501"/>
      <c r="BE131" s="501"/>
      <c r="BF131" s="501"/>
      <c r="BG131" s="501"/>
      <c r="BH131" s="501"/>
      <c r="BI131" s="501"/>
      <c r="BJ131" s="501"/>
      <c r="BK131" s="501"/>
      <c r="BL131" s="501"/>
      <c r="BM131" s="501"/>
    </row>
    <row r="132" spans="1:65" s="163" customFormat="1" ht="18" customHeight="1">
      <c r="A132" s="218"/>
      <c r="B132" s="256"/>
      <c r="C132" s="374" t="s">
        <v>160</v>
      </c>
      <c r="D132" s="374"/>
      <c r="E132" s="374"/>
      <c r="F132" s="375"/>
      <c r="G132" s="374"/>
      <c r="H132" s="374"/>
      <c r="I132" s="374"/>
      <c r="J132" s="374"/>
      <c r="K132" s="374"/>
      <c r="L132" s="374"/>
      <c r="M132" s="374"/>
      <c r="N132" s="374"/>
      <c r="O132" s="374"/>
      <c r="P132" s="374"/>
      <c r="Q132" s="374"/>
      <c r="R132" s="374"/>
      <c r="S132" s="374"/>
      <c r="T132" s="374"/>
      <c r="U132" s="374"/>
      <c r="V132" s="374"/>
      <c r="W132" s="374"/>
      <c r="X132" s="374"/>
      <c r="Y132" s="374"/>
      <c r="Z132" s="374"/>
      <c r="AA132" s="374"/>
      <c r="AB132" s="374"/>
      <c r="AC132" s="374" t="s">
        <v>161</v>
      </c>
      <c r="AD132" s="374"/>
      <c r="AE132" s="374"/>
      <c r="AF132" s="374"/>
      <c r="AG132" s="374"/>
      <c r="AH132" s="374"/>
      <c r="AI132" s="374"/>
      <c r="AJ132" s="374"/>
      <c r="AK132" s="374"/>
      <c r="AL132" s="374"/>
      <c r="AM132" s="374"/>
      <c r="AN132" s="374"/>
      <c r="AO132" s="374"/>
      <c r="AP132" s="374"/>
      <c r="AQ132" s="374"/>
      <c r="AR132" s="374"/>
      <c r="AS132" s="374"/>
      <c r="AT132" s="374"/>
      <c r="AU132" s="374"/>
      <c r="AV132" s="374"/>
      <c r="AW132" s="374"/>
      <c r="AX132" s="374"/>
      <c r="AY132" s="374"/>
      <c r="AZ132" s="182"/>
      <c r="BA132" s="164"/>
      <c r="BB132" s="501"/>
      <c r="BC132" s="501"/>
      <c r="BD132" s="501"/>
      <c r="BE132" s="501"/>
      <c r="BF132" s="501"/>
      <c r="BG132" s="501"/>
      <c r="BH132" s="501"/>
      <c r="BI132" s="501"/>
      <c r="BJ132" s="501"/>
      <c r="BK132" s="501"/>
      <c r="BL132" s="501"/>
      <c r="BM132" s="501"/>
    </row>
    <row r="133" spans="1:65" ht="5.25" customHeight="1">
      <c r="C133" s="183"/>
      <c r="D133" s="183"/>
      <c r="E133" s="183"/>
      <c r="F133" s="373"/>
      <c r="G133" s="183"/>
      <c r="H133" s="183"/>
      <c r="I133" s="183"/>
      <c r="J133" s="183"/>
      <c r="K133" s="183"/>
      <c r="L133" s="183"/>
      <c r="M133" s="183"/>
      <c r="N133" s="183"/>
      <c r="O133" s="183"/>
      <c r="P133" s="183"/>
      <c r="Q133" s="183"/>
      <c r="R133" s="183"/>
      <c r="S133" s="183"/>
      <c r="T133" s="183"/>
      <c r="U133" s="183"/>
      <c r="V133" s="183"/>
      <c r="W133" s="183"/>
      <c r="X133" s="183"/>
      <c r="Y133" s="183"/>
      <c r="Z133" s="183"/>
      <c r="AA133" s="183"/>
      <c r="AB133" s="183"/>
      <c r="AC133" s="183"/>
      <c r="AD133" s="183"/>
      <c r="AE133" s="183"/>
      <c r="AF133" s="183"/>
      <c r="AG133" s="183"/>
      <c r="AH133" s="183"/>
      <c r="AI133" s="183"/>
      <c r="AJ133" s="183"/>
      <c r="AK133" s="183"/>
      <c r="AL133" s="183"/>
      <c r="AM133" s="183"/>
      <c r="AN133" s="183"/>
      <c r="AO133" s="183"/>
      <c r="AP133" s="183"/>
      <c r="AQ133" s="183"/>
      <c r="AR133" s="183"/>
      <c r="AS133" s="183"/>
      <c r="AT133" s="183"/>
      <c r="AU133" s="183"/>
      <c r="AV133" s="183"/>
      <c r="AW133" s="183"/>
      <c r="AX133" s="183"/>
      <c r="AY133" s="183"/>
      <c r="AZ133" s="171"/>
      <c r="BB133" s="501"/>
      <c r="BC133" s="501"/>
      <c r="BD133" s="501"/>
      <c r="BE133" s="501"/>
      <c r="BF133" s="501"/>
      <c r="BG133" s="501"/>
      <c r="BH133" s="501"/>
      <c r="BI133" s="501"/>
      <c r="BJ133" s="501"/>
      <c r="BK133" s="501"/>
      <c r="BL133" s="501"/>
      <c r="BM133" s="501"/>
    </row>
    <row r="134" spans="1:65" ht="6.75" customHeight="1">
      <c r="C134" s="183"/>
      <c r="D134" s="518"/>
      <c r="E134" s="518"/>
      <c r="F134" s="518"/>
      <c r="G134" s="183"/>
      <c r="H134" s="183"/>
      <c r="I134" s="183"/>
      <c r="J134" s="183"/>
      <c r="K134" s="183"/>
      <c r="L134" s="183"/>
      <c r="M134" s="183"/>
      <c r="N134" s="183"/>
      <c r="O134" s="183"/>
      <c r="P134" s="183"/>
      <c r="Q134" s="183"/>
      <c r="R134" s="183"/>
      <c r="S134" s="183"/>
      <c r="T134" s="183"/>
      <c r="U134" s="183"/>
      <c r="V134" s="183"/>
      <c r="W134" s="183"/>
      <c r="X134" s="183"/>
      <c r="Y134" s="183"/>
      <c r="Z134" s="183"/>
      <c r="AA134" s="183"/>
      <c r="AB134" s="183"/>
      <c r="AC134" s="183"/>
      <c r="AD134" s="183"/>
      <c r="AE134" s="183"/>
      <c r="AF134" s="183"/>
      <c r="AG134" s="183"/>
      <c r="AH134" s="183"/>
      <c r="AI134" s="183"/>
      <c r="AJ134" s="183"/>
      <c r="AK134" s="183"/>
      <c r="AL134" s="183"/>
      <c r="AM134" s="183"/>
      <c r="AN134" s="183"/>
      <c r="AO134" s="183"/>
      <c r="AP134" s="183"/>
      <c r="AQ134" s="183"/>
      <c r="AR134" s="183"/>
      <c r="AS134" s="183"/>
      <c r="AT134" s="183"/>
      <c r="AU134" s="183"/>
      <c r="AV134" s="183"/>
      <c r="AW134" s="183"/>
      <c r="AX134" s="183"/>
      <c r="AY134" s="183"/>
      <c r="AZ134" s="171"/>
      <c r="BB134" s="501"/>
      <c r="BC134" s="501"/>
      <c r="BD134" s="501"/>
      <c r="BE134" s="501"/>
      <c r="BF134" s="501"/>
      <c r="BG134" s="501"/>
      <c r="BH134" s="501"/>
      <c r="BI134" s="501"/>
      <c r="BJ134" s="501"/>
      <c r="BK134" s="501"/>
      <c r="BL134" s="501"/>
      <c r="BM134" s="501"/>
    </row>
    <row r="135" spans="1:65" ht="3.75" customHeight="1">
      <c r="C135" s="183"/>
      <c r="D135" s="376"/>
      <c r="E135" s="376"/>
      <c r="F135" s="376"/>
      <c r="G135" s="183"/>
      <c r="H135" s="183"/>
      <c r="I135" s="183"/>
      <c r="J135" s="183"/>
      <c r="K135" s="183"/>
      <c r="L135" s="183"/>
      <c r="M135" s="183"/>
      <c r="N135" s="183"/>
      <c r="O135" s="183"/>
      <c r="P135" s="183"/>
      <c r="Q135" s="183"/>
      <c r="R135" s="183"/>
      <c r="S135" s="183"/>
      <c r="T135" s="183"/>
      <c r="U135" s="183"/>
      <c r="V135" s="183"/>
      <c r="W135" s="183"/>
      <c r="X135" s="183"/>
      <c r="Y135" s="183"/>
      <c r="Z135" s="183"/>
      <c r="AA135" s="183"/>
      <c r="AB135" s="183"/>
      <c r="AC135" s="183"/>
      <c r="AD135" s="183"/>
      <c r="AE135" s="183"/>
      <c r="AF135" s="183"/>
      <c r="AG135" s="183"/>
      <c r="AH135" s="183"/>
      <c r="AI135" s="183"/>
      <c r="AJ135" s="183"/>
      <c r="AK135" s="183"/>
      <c r="AL135" s="183"/>
      <c r="AM135" s="183"/>
      <c r="AN135" s="183"/>
      <c r="AO135" s="183"/>
      <c r="AP135" s="183"/>
      <c r="AQ135" s="183"/>
      <c r="AR135" s="183"/>
      <c r="AS135" s="183"/>
      <c r="AT135" s="183"/>
      <c r="AU135" s="183"/>
      <c r="AV135" s="183"/>
      <c r="AW135" s="183"/>
      <c r="AX135" s="183"/>
      <c r="AY135" s="183"/>
      <c r="AZ135" s="171"/>
      <c r="BB135" s="501"/>
      <c r="BC135" s="501"/>
      <c r="BD135" s="501"/>
      <c r="BE135" s="501"/>
      <c r="BF135" s="501"/>
      <c r="BG135" s="501"/>
      <c r="BH135" s="501"/>
      <c r="BI135" s="501"/>
      <c r="BJ135" s="501"/>
      <c r="BK135" s="501"/>
      <c r="BL135" s="501"/>
      <c r="BM135" s="501"/>
    </row>
    <row r="136" spans="1:65" ht="13.5" customHeight="1">
      <c r="C136" s="517" t="s">
        <v>159</v>
      </c>
      <c r="D136" s="517"/>
      <c r="E136" s="517"/>
      <c r="F136" s="517"/>
      <c r="G136" s="517"/>
      <c r="H136" s="517"/>
      <c r="I136" s="517"/>
      <c r="J136" s="517"/>
      <c r="K136" s="517"/>
      <c r="L136" s="517"/>
      <c r="M136" s="517"/>
      <c r="N136" s="517"/>
      <c r="O136" s="517"/>
      <c r="P136" s="517"/>
      <c r="Q136" s="517"/>
      <c r="R136" s="517"/>
      <c r="S136" s="517"/>
      <c r="T136" s="517"/>
      <c r="U136" s="517"/>
      <c r="V136" s="517"/>
      <c r="W136" s="517"/>
      <c r="X136" s="517"/>
      <c r="Y136" s="517"/>
      <c r="Z136" s="517"/>
      <c r="AA136" s="183"/>
      <c r="AB136" s="183"/>
      <c r="AC136" s="520" t="s">
        <v>159</v>
      </c>
      <c r="AD136" s="520"/>
      <c r="AE136" s="520"/>
      <c r="AF136" s="520"/>
      <c r="AG136" s="520"/>
      <c r="AH136" s="520"/>
      <c r="AI136" s="520"/>
      <c r="AJ136" s="520"/>
      <c r="AK136" s="520"/>
      <c r="AL136" s="520"/>
      <c r="AM136" s="520"/>
      <c r="AN136" s="520"/>
      <c r="AO136" s="520"/>
      <c r="AP136" s="520"/>
      <c r="AQ136" s="520"/>
      <c r="AR136" s="520"/>
      <c r="AS136" s="520"/>
      <c r="AT136" s="520"/>
      <c r="AU136" s="520"/>
      <c r="AV136" s="520"/>
      <c r="AW136" s="520"/>
      <c r="AX136" s="520"/>
      <c r="AY136" s="520"/>
      <c r="AZ136" s="171"/>
      <c r="BB136" s="501"/>
      <c r="BC136" s="501"/>
      <c r="BD136" s="501"/>
      <c r="BE136" s="501"/>
      <c r="BF136" s="501"/>
      <c r="BG136" s="501"/>
      <c r="BH136" s="501"/>
      <c r="BI136" s="501"/>
      <c r="BJ136" s="501"/>
      <c r="BK136" s="501"/>
      <c r="BL136" s="501"/>
      <c r="BM136" s="501"/>
    </row>
    <row r="137" spans="1:65" ht="13.5" customHeight="1">
      <c r="C137" s="517" t="str">
        <f>IF(vstupne_udaje!D18="","",vstupne_udaje!D18)</f>
        <v/>
      </c>
      <c r="D137" s="517"/>
      <c r="E137" s="517"/>
      <c r="F137" s="517"/>
      <c r="G137" s="517"/>
      <c r="H137" s="517"/>
      <c r="I137" s="517"/>
      <c r="J137" s="517"/>
      <c r="K137" s="517"/>
      <c r="L137" s="517"/>
      <c r="M137" s="517"/>
      <c r="N137" s="517"/>
      <c r="O137" s="517"/>
      <c r="P137" s="517"/>
      <c r="Q137" s="517"/>
      <c r="R137" s="517"/>
      <c r="S137" s="517"/>
      <c r="T137" s="183"/>
      <c r="U137" s="183"/>
      <c r="V137" s="183"/>
      <c r="W137" s="183"/>
      <c r="X137" s="183"/>
      <c r="Y137" s="183"/>
      <c r="Z137" s="183"/>
      <c r="AA137" s="183"/>
      <c r="AB137" s="183"/>
      <c r="AC137" s="517" t="str">
        <f>IF(vstupne_udaje!D33="","",vstupne_udaje!D33)</f>
        <v/>
      </c>
      <c r="AD137" s="517"/>
      <c r="AE137" s="517"/>
      <c r="AF137" s="517"/>
      <c r="AG137" s="517"/>
      <c r="AH137" s="517"/>
      <c r="AI137" s="517"/>
      <c r="AJ137" s="517"/>
      <c r="AK137" s="517"/>
      <c r="AL137" s="517"/>
      <c r="AM137" s="517"/>
      <c r="AN137" s="517"/>
      <c r="AO137" s="517"/>
      <c r="AP137" s="517"/>
      <c r="AQ137" s="517"/>
      <c r="AR137" s="517"/>
      <c r="AS137" s="517"/>
      <c r="AT137" s="517"/>
      <c r="AU137" s="183"/>
      <c r="AV137" s="183"/>
      <c r="AW137" s="183"/>
      <c r="AX137" s="183"/>
      <c r="AY137" s="183"/>
      <c r="AZ137" s="171"/>
      <c r="BB137" s="501"/>
      <c r="BC137" s="501"/>
      <c r="BD137" s="501"/>
      <c r="BE137" s="501"/>
      <c r="BF137" s="501"/>
      <c r="BG137" s="501"/>
      <c r="BH137" s="501"/>
      <c r="BI137" s="501"/>
      <c r="BJ137" s="501"/>
      <c r="BK137" s="501"/>
      <c r="BL137" s="501"/>
      <c r="BM137" s="501"/>
    </row>
    <row r="138" spans="1:65" ht="13.5" customHeight="1">
      <c r="C138" s="517" t="str">
        <f>IF(vstupne_udaje!D19="","",vstupne_udaje!D19)</f>
        <v/>
      </c>
      <c r="D138" s="517"/>
      <c r="E138" s="517"/>
      <c r="F138" s="517"/>
      <c r="G138" s="517"/>
      <c r="H138" s="517"/>
      <c r="I138" s="517"/>
      <c r="J138" s="517"/>
      <c r="K138" s="517"/>
      <c r="L138" s="517"/>
      <c r="M138" s="517"/>
      <c r="N138" s="517"/>
      <c r="O138" s="517"/>
      <c r="P138" s="517"/>
      <c r="Q138" s="517"/>
      <c r="R138" s="517"/>
      <c r="S138" s="517"/>
      <c r="T138" s="183"/>
      <c r="U138" s="183"/>
      <c r="V138" s="183"/>
      <c r="W138" s="183"/>
      <c r="X138" s="183"/>
      <c r="Y138" s="183"/>
      <c r="Z138" s="183"/>
      <c r="AA138" s="183"/>
      <c r="AB138" s="183"/>
      <c r="AC138" s="183" t="str">
        <f>IF(vstupne_udaje!D34="","",vstupne_udaje!D34)</f>
        <v/>
      </c>
      <c r="AD138" s="183"/>
      <c r="AE138" s="183"/>
      <c r="AF138" s="183"/>
      <c r="AG138" s="183"/>
      <c r="AH138" s="183"/>
      <c r="AI138" s="183"/>
      <c r="AJ138" s="183"/>
      <c r="AK138" s="183"/>
      <c r="AL138" s="183"/>
      <c r="AM138" s="183"/>
      <c r="AN138" s="183"/>
      <c r="AO138" s="183"/>
      <c r="AP138" s="183"/>
      <c r="AQ138" s="183"/>
      <c r="AR138" s="183"/>
      <c r="AS138" s="183"/>
      <c r="AT138" s="183"/>
      <c r="AU138" s="183"/>
      <c r="AV138" s="183"/>
      <c r="AW138" s="183"/>
      <c r="AX138" s="183"/>
      <c r="AY138" s="183"/>
      <c r="AZ138" s="171"/>
      <c r="BB138" s="501"/>
      <c r="BC138" s="501"/>
      <c r="BD138" s="501"/>
      <c r="BE138" s="501"/>
      <c r="BF138" s="501"/>
      <c r="BG138" s="501"/>
      <c r="BH138" s="501"/>
      <c r="BI138" s="501"/>
      <c r="BJ138" s="501"/>
      <c r="BK138" s="501"/>
      <c r="BL138" s="501"/>
      <c r="BM138" s="501"/>
    </row>
    <row r="139" spans="1:65" ht="0.75" customHeight="1">
      <c r="B139" s="255" t="s">
        <v>166</v>
      </c>
      <c r="C139" s="183"/>
      <c r="D139" s="183"/>
      <c r="E139" s="183"/>
      <c r="F139" s="183"/>
      <c r="G139" s="183"/>
      <c r="H139" s="183"/>
      <c r="I139" s="183"/>
      <c r="J139" s="183"/>
      <c r="K139" s="183"/>
      <c r="L139" s="183"/>
      <c r="M139" s="183"/>
      <c r="N139" s="183"/>
      <c r="O139" s="183"/>
      <c r="P139" s="183"/>
      <c r="Q139" s="183"/>
      <c r="R139" s="183"/>
      <c r="S139" s="183"/>
      <c r="T139" s="183"/>
      <c r="U139" s="183"/>
      <c r="V139" s="183"/>
      <c r="W139" s="183"/>
      <c r="X139" s="183"/>
      <c r="Y139" s="183"/>
      <c r="Z139" s="183"/>
      <c r="AA139" s="183"/>
      <c r="AB139" s="183"/>
      <c r="AC139" s="183"/>
      <c r="AD139" s="183"/>
      <c r="AE139" s="183"/>
      <c r="AF139" s="183"/>
      <c r="AG139" s="183"/>
      <c r="AH139" s="183"/>
      <c r="AI139" s="183"/>
      <c r="AJ139" s="183"/>
      <c r="AK139" s="183"/>
      <c r="AL139" s="183"/>
      <c r="AM139" s="183"/>
      <c r="AN139" s="183"/>
      <c r="AO139" s="183"/>
      <c r="AP139" s="183"/>
      <c r="AQ139" s="183"/>
      <c r="AR139" s="183"/>
      <c r="AS139" s="183"/>
      <c r="AT139" s="183"/>
      <c r="AU139" s="183"/>
      <c r="AV139" s="183"/>
      <c r="AW139" s="183"/>
      <c r="AX139" s="183"/>
      <c r="AY139" s="183"/>
      <c r="AZ139" s="171"/>
      <c r="BB139" s="501"/>
      <c r="BC139" s="501"/>
      <c r="BD139" s="501"/>
      <c r="BE139" s="501"/>
      <c r="BF139" s="501"/>
      <c r="BG139" s="501"/>
      <c r="BH139" s="501"/>
      <c r="BI139" s="501"/>
      <c r="BJ139" s="501"/>
      <c r="BK139" s="501"/>
      <c r="BL139" s="501"/>
      <c r="BM139" s="501"/>
    </row>
    <row r="140" spans="1:65" ht="15" customHeight="1">
      <c r="C140" s="183"/>
      <c r="D140" s="183"/>
      <c r="E140" s="183"/>
      <c r="F140" s="183"/>
      <c r="G140" s="183"/>
      <c r="H140" s="183"/>
      <c r="I140" s="183"/>
      <c r="J140" s="183"/>
      <c r="K140" s="183"/>
      <c r="L140" s="183"/>
      <c r="M140" s="183"/>
      <c r="N140" s="183"/>
      <c r="O140" s="183"/>
      <c r="P140" s="183"/>
      <c r="Q140" s="183"/>
      <c r="R140" s="183"/>
      <c r="S140" s="183"/>
      <c r="T140" s="183"/>
      <c r="U140" s="183"/>
      <c r="V140" s="183"/>
      <c r="W140" s="183"/>
      <c r="X140" s="183"/>
      <c r="Y140" s="183"/>
      <c r="Z140" s="183"/>
      <c r="AA140" s="183"/>
      <c r="AB140" s="183"/>
      <c r="AC140" s="183"/>
      <c r="AD140" s="183"/>
      <c r="AE140" s="183"/>
      <c r="AF140" s="183"/>
      <c r="AG140" s="183"/>
      <c r="AH140" s="183"/>
      <c r="AI140" s="183"/>
      <c r="AJ140" s="183"/>
      <c r="AK140" s="183"/>
      <c r="AL140" s="183"/>
      <c r="AM140" s="183"/>
      <c r="AN140" s="183"/>
      <c r="AO140" s="183"/>
      <c r="AP140" s="183"/>
      <c r="AQ140" s="183"/>
      <c r="AR140" s="183"/>
      <c r="AS140" s="183"/>
      <c r="AT140" s="183"/>
      <c r="AU140" s="183"/>
      <c r="AV140" s="183"/>
      <c r="AW140" s="183"/>
      <c r="AX140" s="183"/>
      <c r="AY140" s="183"/>
      <c r="AZ140" s="171"/>
      <c r="BB140" s="501"/>
      <c r="BC140" s="501"/>
      <c r="BD140" s="501"/>
      <c r="BE140" s="501"/>
      <c r="BF140" s="501"/>
      <c r="BG140" s="501"/>
      <c r="BH140" s="501"/>
      <c r="BI140" s="501"/>
      <c r="BJ140" s="501"/>
      <c r="BK140" s="501"/>
      <c r="BL140" s="501"/>
      <c r="BM140" s="501"/>
    </row>
    <row r="141" spans="1:65" ht="13.5" customHeight="1">
      <c r="C141" s="183" t="s">
        <v>64</v>
      </c>
      <c r="D141" s="155"/>
      <c r="E141" s="183"/>
      <c r="F141" s="183"/>
      <c r="G141" s="183"/>
      <c r="H141" s="183"/>
      <c r="I141" s="183"/>
      <c r="J141" s="183"/>
      <c r="K141" s="183"/>
      <c r="L141" s="183"/>
      <c r="M141" s="183"/>
      <c r="N141" s="183"/>
      <c r="O141" s="155"/>
      <c r="P141" s="183"/>
      <c r="Q141" s="183" t="str">
        <f>IF(vstupne_udaje!D35="","..................................................",vstupne_udaje!D35)</f>
        <v>..................................................</v>
      </c>
      <c r="R141" s="183"/>
      <c r="S141" s="183"/>
      <c r="T141" s="183"/>
      <c r="U141" s="183"/>
      <c r="V141" s="183"/>
      <c r="W141" s="183"/>
      <c r="X141" s="183"/>
      <c r="Y141" s="183"/>
      <c r="Z141" s="183"/>
      <c r="AA141" s="183"/>
      <c r="AB141" s="183"/>
      <c r="AC141" s="183"/>
      <c r="AD141" s="183"/>
      <c r="AE141" s="183"/>
      <c r="AF141" s="183"/>
      <c r="AG141" s="183"/>
      <c r="AH141" s="183"/>
      <c r="AI141" s="183"/>
      <c r="AJ141" s="183"/>
      <c r="AK141" s="183"/>
      <c r="AL141" s="183"/>
      <c r="AM141" s="183"/>
      <c r="AN141" s="183"/>
      <c r="AO141" s="183"/>
      <c r="AP141" s="183"/>
      <c r="AQ141" s="183"/>
      <c r="AR141" s="183"/>
      <c r="AS141" s="183"/>
      <c r="AT141" s="183"/>
      <c r="AU141" s="183"/>
      <c r="AV141" s="183"/>
      <c r="AW141" s="183"/>
      <c r="AX141" s="183"/>
      <c r="AY141" s="183"/>
      <c r="AZ141" s="171"/>
      <c r="BB141" s="501"/>
      <c r="BC141" s="501"/>
      <c r="BD141" s="501"/>
      <c r="BE141" s="501"/>
      <c r="BF141" s="501"/>
      <c r="BG141" s="501"/>
      <c r="BH141" s="501"/>
      <c r="BI141" s="501"/>
      <c r="BJ141" s="501"/>
      <c r="BK141" s="501"/>
      <c r="BL141" s="501"/>
      <c r="BM141" s="501"/>
    </row>
    <row r="142" spans="1:65" ht="3" customHeight="1">
      <c r="C142" s="183"/>
      <c r="D142" s="155"/>
      <c r="E142" s="183"/>
      <c r="F142" s="183"/>
      <c r="G142" s="183"/>
      <c r="H142" s="183"/>
      <c r="I142" s="183"/>
      <c r="J142" s="183"/>
      <c r="K142" s="183"/>
      <c r="L142" s="183"/>
      <c r="M142" s="183"/>
      <c r="N142" s="183"/>
      <c r="O142" s="183"/>
      <c r="P142" s="183"/>
      <c r="Q142" s="183"/>
      <c r="R142" s="183"/>
      <c r="S142" s="183"/>
      <c r="T142" s="183"/>
      <c r="U142" s="183"/>
      <c r="V142" s="183"/>
      <c r="W142" s="183"/>
      <c r="X142" s="183"/>
      <c r="Y142" s="183"/>
      <c r="Z142" s="183"/>
      <c r="AA142" s="183"/>
      <c r="AB142" s="183"/>
      <c r="AC142" s="183"/>
      <c r="AD142" s="183"/>
      <c r="AE142" s="183"/>
      <c r="AF142" s="183"/>
      <c r="AG142" s="183"/>
      <c r="AH142" s="183"/>
      <c r="AI142" s="183"/>
      <c r="AJ142" s="183"/>
      <c r="AK142" s="183"/>
      <c r="AL142" s="183"/>
      <c r="AM142" s="183"/>
      <c r="AN142" s="183"/>
      <c r="AO142" s="183"/>
      <c r="AP142" s="183"/>
      <c r="AQ142" s="183"/>
      <c r="AR142" s="183"/>
      <c r="AS142" s="183"/>
      <c r="AT142" s="183"/>
      <c r="AU142" s="183"/>
      <c r="AV142" s="183"/>
      <c r="AW142" s="183"/>
      <c r="AX142" s="183"/>
      <c r="AY142" s="183"/>
      <c r="AZ142" s="171"/>
    </row>
    <row r="143" spans="1:65" ht="13.5" customHeight="1">
      <c r="C143" s="183" t="s">
        <v>65</v>
      </c>
      <c r="D143" s="155"/>
      <c r="E143" s="183"/>
      <c r="F143" s="183"/>
      <c r="G143" s="183"/>
      <c r="H143" s="183"/>
      <c r="I143" s="183"/>
      <c r="J143" s="183"/>
      <c r="K143" s="183"/>
      <c r="L143" s="183"/>
      <c r="M143" s="183"/>
      <c r="N143" s="183"/>
      <c r="O143" s="183"/>
      <c r="P143" s="183"/>
      <c r="Q143" s="183" t="str">
        <f>IF(vstupne_udaje!D36="","..................................................",vstupne_udaje!D36)</f>
        <v>..................................................</v>
      </c>
      <c r="R143" s="183"/>
      <c r="S143" s="183"/>
      <c r="T143" s="183"/>
      <c r="U143" s="183"/>
      <c r="V143" s="183"/>
      <c r="W143" s="183"/>
      <c r="X143" s="183"/>
      <c r="Y143" s="183"/>
      <c r="Z143" s="183"/>
      <c r="AA143" s="183"/>
      <c r="AB143" s="183"/>
      <c r="AC143" s="183"/>
      <c r="AD143" s="183"/>
      <c r="AE143" s="183"/>
      <c r="AF143" s="183"/>
      <c r="AG143" s="183"/>
      <c r="AH143" s="183"/>
      <c r="AI143" s="183"/>
      <c r="AJ143" s="183"/>
      <c r="AK143" s="183"/>
      <c r="AL143" s="183"/>
      <c r="AM143" s="183"/>
      <c r="AN143" s="183"/>
      <c r="AO143" s="183"/>
      <c r="AP143" s="183"/>
      <c r="AQ143" s="183"/>
      <c r="AR143" s="183"/>
      <c r="AS143" s="183"/>
      <c r="AT143" s="183"/>
      <c r="AU143" s="183"/>
      <c r="AV143" s="183"/>
      <c r="AW143" s="183"/>
      <c r="AX143" s="183"/>
      <c r="AY143" s="183"/>
      <c r="AZ143" s="171"/>
    </row>
    <row r="144" spans="1:65" ht="3" customHeight="1">
      <c r="C144" s="183"/>
      <c r="D144" s="155"/>
      <c r="E144" s="183"/>
      <c r="F144" s="183"/>
      <c r="G144" s="183"/>
      <c r="H144" s="183"/>
      <c r="I144" s="183"/>
      <c r="J144" s="183"/>
      <c r="K144" s="183"/>
      <c r="L144" s="183"/>
      <c r="M144" s="183"/>
      <c r="N144" s="183"/>
      <c r="O144" s="183"/>
      <c r="P144" s="183"/>
      <c r="Q144" s="183"/>
      <c r="R144" s="183"/>
      <c r="S144" s="183"/>
      <c r="T144" s="183"/>
      <c r="U144" s="183"/>
      <c r="V144" s="183"/>
      <c r="W144" s="183"/>
      <c r="X144" s="183"/>
      <c r="Y144" s="183"/>
      <c r="Z144" s="183"/>
      <c r="AA144" s="183"/>
      <c r="AB144" s="183"/>
      <c r="AC144" s="183"/>
      <c r="AD144" s="183"/>
      <c r="AE144" s="183"/>
      <c r="AF144" s="183"/>
      <c r="AG144" s="183"/>
      <c r="AH144" s="183"/>
      <c r="AI144" s="183"/>
      <c r="AJ144" s="183"/>
      <c r="AK144" s="183"/>
      <c r="AL144" s="183"/>
      <c r="AM144" s="183"/>
      <c r="AN144" s="183"/>
      <c r="AO144" s="183"/>
      <c r="AP144" s="183"/>
      <c r="AQ144" s="183"/>
      <c r="AR144" s="183"/>
      <c r="AS144" s="183"/>
      <c r="AT144" s="183"/>
      <c r="AU144" s="183"/>
      <c r="AV144" s="183"/>
      <c r="AW144" s="183"/>
      <c r="AX144" s="183"/>
      <c r="AY144" s="183"/>
      <c r="AZ144" s="171"/>
    </row>
    <row r="145" spans="2:52" ht="13.5" customHeight="1">
      <c r="B145" s="255" t="s">
        <v>166</v>
      </c>
      <c r="C145" s="183" t="s">
        <v>66</v>
      </c>
      <c r="D145" s="155"/>
      <c r="E145" s="183"/>
      <c r="F145" s="183"/>
      <c r="G145" s="183"/>
      <c r="H145" s="183"/>
      <c r="I145" s="183"/>
      <c r="J145" s="183"/>
      <c r="K145" s="183"/>
      <c r="L145" s="183"/>
      <c r="M145" s="183"/>
      <c r="N145" s="183"/>
      <c r="O145" s="183"/>
      <c r="P145" s="183"/>
      <c r="Q145" s="183" t="str">
        <f>IF(vstupne_udaje!D37="","..................................................",vstupne_udaje!D37)</f>
        <v>..................................................</v>
      </c>
      <c r="R145" s="183"/>
      <c r="S145" s="183"/>
      <c r="T145" s="183"/>
      <c r="U145" s="183"/>
      <c r="V145" s="183"/>
      <c r="W145" s="183"/>
      <c r="X145" s="183"/>
      <c r="Y145" s="183"/>
      <c r="Z145" s="183"/>
      <c r="AA145" s="183"/>
      <c r="AB145" s="183"/>
      <c r="AC145" s="183"/>
      <c r="AD145" s="183"/>
      <c r="AE145" s="183"/>
      <c r="AF145" s="183"/>
      <c r="AG145" s="183"/>
      <c r="AH145" s="183"/>
      <c r="AI145" s="183"/>
      <c r="AJ145" s="183"/>
      <c r="AK145" s="183"/>
      <c r="AL145" s="183"/>
      <c r="AM145" s="183"/>
      <c r="AN145" s="183"/>
      <c r="AO145" s="183"/>
      <c r="AP145" s="183"/>
      <c r="AQ145" s="183"/>
      <c r="AR145" s="183"/>
      <c r="AS145" s="183"/>
      <c r="AT145" s="183"/>
      <c r="AU145" s="183"/>
      <c r="AV145" s="183"/>
      <c r="AW145" s="183"/>
      <c r="AX145" s="183"/>
      <c r="AY145" s="183"/>
      <c r="AZ145" s="171"/>
    </row>
    <row r="146" spans="2:52" ht="3" customHeight="1">
      <c r="C146" s="183"/>
      <c r="D146" s="183"/>
      <c r="E146" s="183"/>
      <c r="F146" s="183"/>
      <c r="G146" s="183"/>
      <c r="H146" s="183"/>
      <c r="I146" s="183"/>
      <c r="J146" s="183"/>
      <c r="K146" s="183"/>
      <c r="L146" s="183"/>
      <c r="M146" s="183"/>
      <c r="N146" s="183"/>
      <c r="O146" s="183"/>
      <c r="P146" s="183"/>
      <c r="Q146" s="183"/>
      <c r="R146" s="183"/>
      <c r="S146" s="183"/>
      <c r="T146" s="183"/>
      <c r="U146" s="183"/>
      <c r="V146" s="183"/>
      <c r="W146" s="183"/>
      <c r="X146" s="183"/>
      <c r="Y146" s="183"/>
      <c r="Z146" s="183"/>
      <c r="AA146" s="183"/>
      <c r="AB146" s="183"/>
      <c r="AC146" s="183"/>
      <c r="AD146" s="183"/>
      <c r="AE146" s="183"/>
      <c r="AF146" s="183"/>
      <c r="AG146" s="183"/>
      <c r="AH146" s="183"/>
      <c r="AI146" s="183"/>
      <c r="AJ146" s="183"/>
      <c r="AK146" s="183"/>
      <c r="AL146" s="183"/>
      <c r="AM146" s="183"/>
      <c r="AN146" s="183"/>
      <c r="AO146" s="183"/>
      <c r="AP146" s="183"/>
      <c r="AQ146" s="183"/>
      <c r="AR146" s="183"/>
      <c r="AS146" s="183"/>
      <c r="AT146" s="183"/>
      <c r="AU146" s="183"/>
      <c r="AV146" s="183"/>
      <c r="AW146" s="183"/>
      <c r="AX146" s="183"/>
      <c r="AY146" s="183"/>
      <c r="AZ146" s="171"/>
    </row>
    <row r="147" spans="2:52" ht="13.5" customHeight="1">
      <c r="C147" s="377"/>
      <c r="D147" s="377"/>
      <c r="E147" s="146"/>
      <c r="F147" s="146"/>
      <c r="G147" s="146"/>
      <c r="H147" s="146"/>
      <c r="I147" s="146"/>
      <c r="J147" s="146"/>
      <c r="K147" s="146"/>
      <c r="L147" s="146"/>
      <c r="M147" s="146"/>
      <c r="N147" s="146"/>
      <c r="O147" s="146"/>
      <c r="P147" s="146"/>
      <c r="Q147" s="146"/>
      <c r="R147" s="146"/>
      <c r="S147" s="146"/>
      <c r="T147" s="146"/>
      <c r="U147" s="146"/>
      <c r="V147" s="146"/>
      <c r="W147" s="146"/>
      <c r="X147" s="146"/>
      <c r="Y147" s="146"/>
      <c r="Z147" s="146"/>
      <c r="AA147" s="146"/>
      <c r="AB147" s="146"/>
      <c r="AC147" s="146"/>
      <c r="AD147" s="146"/>
      <c r="AE147" s="146"/>
      <c r="AF147" s="146"/>
      <c r="AG147" s="146"/>
      <c r="AH147" s="146"/>
      <c r="AI147" s="146"/>
      <c r="AJ147" s="146"/>
      <c r="AK147" s="146"/>
      <c r="AL147" s="146"/>
      <c r="AM147" s="146"/>
      <c r="AN147" s="146"/>
      <c r="AO147" s="146"/>
      <c r="AP147" s="146"/>
      <c r="AQ147" s="146"/>
      <c r="AR147" s="146"/>
      <c r="AS147" s="146"/>
      <c r="AT147" s="146"/>
      <c r="AU147" s="146"/>
      <c r="AV147" s="146"/>
      <c r="AW147" s="146"/>
      <c r="AX147" s="146"/>
      <c r="AY147" s="146"/>
    </row>
    <row r="148" spans="2:52" ht="13.5" customHeight="1">
      <c r="C148" s="377"/>
      <c r="D148" s="377"/>
      <c r="E148" s="146"/>
      <c r="F148" s="146"/>
      <c r="G148" s="146"/>
      <c r="H148" s="146"/>
      <c r="I148" s="146"/>
      <c r="J148" s="146"/>
      <c r="K148" s="146"/>
      <c r="L148" s="146"/>
      <c r="M148" s="146"/>
      <c r="N148" s="146"/>
      <c r="O148" s="146"/>
      <c r="P148" s="146"/>
      <c r="Q148" s="146"/>
      <c r="R148" s="146"/>
      <c r="S148" s="146"/>
      <c r="T148" s="146"/>
      <c r="U148" s="146"/>
      <c r="V148" s="146"/>
      <c r="W148" s="146"/>
      <c r="X148" s="146"/>
      <c r="Y148" s="146"/>
      <c r="Z148" s="146"/>
      <c r="AA148" s="146"/>
      <c r="AB148" s="146"/>
      <c r="AC148" s="146"/>
      <c r="AD148" s="146"/>
      <c r="AE148" s="146"/>
      <c r="AF148" s="146"/>
      <c r="AG148" s="146"/>
      <c r="AH148" s="146"/>
      <c r="AI148" s="146"/>
      <c r="AJ148" s="146"/>
      <c r="AK148" s="146"/>
      <c r="AL148" s="146"/>
      <c r="AM148" s="146"/>
      <c r="AN148" s="146"/>
      <c r="AO148" s="146"/>
      <c r="AP148" s="146"/>
      <c r="AQ148" s="146"/>
      <c r="AR148" s="146"/>
      <c r="AS148" s="146"/>
      <c r="AT148" s="146"/>
      <c r="AU148" s="146"/>
      <c r="AV148" s="146"/>
      <c r="AW148" s="146"/>
      <c r="AX148" s="146"/>
      <c r="AY148" s="146"/>
    </row>
    <row r="149" spans="2:52" ht="13.5" customHeight="1">
      <c r="C149" s="377"/>
      <c r="D149" s="377"/>
      <c r="E149" s="146"/>
      <c r="F149" s="146"/>
      <c r="G149" s="146"/>
      <c r="H149" s="146"/>
      <c r="I149" s="146"/>
      <c r="J149" s="146"/>
      <c r="K149" s="146"/>
      <c r="L149" s="146"/>
      <c r="M149" s="146"/>
      <c r="N149" s="146"/>
      <c r="O149" s="146"/>
      <c r="P149" s="146"/>
      <c r="Q149" s="146"/>
      <c r="R149" s="146"/>
      <c r="S149" s="146"/>
      <c r="T149" s="146"/>
      <c r="U149" s="146"/>
      <c r="V149" s="146"/>
      <c r="W149" s="146"/>
      <c r="X149" s="146"/>
      <c r="Y149" s="146"/>
      <c r="Z149" s="146"/>
      <c r="AA149" s="146"/>
      <c r="AB149" s="146"/>
      <c r="AC149" s="146"/>
      <c r="AD149" s="146"/>
      <c r="AE149" s="146"/>
      <c r="AF149" s="146"/>
      <c r="AG149" s="146"/>
      <c r="AH149" s="146"/>
      <c r="AI149" s="146"/>
      <c r="AJ149" s="146"/>
      <c r="AK149" s="146"/>
      <c r="AL149" s="146"/>
      <c r="AM149" s="146"/>
      <c r="AN149" s="146"/>
      <c r="AO149" s="146"/>
      <c r="AP149" s="146"/>
      <c r="AQ149" s="146"/>
      <c r="AR149" s="146"/>
      <c r="AS149" s="146"/>
      <c r="AT149" s="146"/>
      <c r="AU149" s="146"/>
      <c r="AV149" s="146"/>
      <c r="AW149" s="146"/>
      <c r="AX149" s="146"/>
      <c r="AY149" s="146"/>
    </row>
    <row r="150" spans="2:52" ht="13.5" customHeight="1">
      <c r="C150" s="377"/>
      <c r="D150" s="377"/>
      <c r="E150" s="146"/>
      <c r="F150" s="146"/>
      <c r="G150" s="146"/>
      <c r="H150" s="146"/>
      <c r="I150" s="146"/>
      <c r="J150" s="146"/>
      <c r="K150" s="146"/>
      <c r="L150" s="146"/>
      <c r="M150" s="146"/>
      <c r="N150" s="146"/>
      <c r="O150" s="146"/>
      <c r="P150" s="146"/>
      <c r="Q150" s="146"/>
      <c r="R150" s="146"/>
      <c r="S150" s="146"/>
      <c r="T150" s="146"/>
      <c r="U150" s="146"/>
      <c r="V150" s="146"/>
      <c r="W150" s="146"/>
      <c r="X150" s="146"/>
      <c r="Y150" s="146"/>
      <c r="Z150" s="146"/>
      <c r="AA150" s="146"/>
      <c r="AB150" s="146"/>
      <c r="AC150" s="146"/>
      <c r="AD150" s="146"/>
      <c r="AE150" s="146"/>
      <c r="AF150" s="146"/>
      <c r="AG150" s="146"/>
      <c r="AH150" s="146"/>
      <c r="AI150" s="146"/>
      <c r="AJ150" s="146"/>
      <c r="AK150" s="146"/>
      <c r="AL150" s="146"/>
      <c r="AM150" s="146"/>
      <c r="AN150" s="146"/>
      <c r="AO150" s="146"/>
      <c r="AP150" s="146"/>
      <c r="AQ150" s="146"/>
      <c r="AR150" s="146"/>
      <c r="AS150" s="146"/>
      <c r="AT150" s="146"/>
      <c r="AU150" s="146"/>
      <c r="AV150" s="146"/>
      <c r="AW150" s="146"/>
      <c r="AX150" s="146"/>
      <c r="AY150" s="146"/>
    </row>
    <row r="151" spans="2:52" ht="13.5" customHeight="1">
      <c r="C151" s="377"/>
      <c r="D151" s="377"/>
      <c r="E151" s="146"/>
      <c r="F151" s="146"/>
      <c r="G151" s="146"/>
      <c r="H151" s="146"/>
      <c r="I151" s="146"/>
      <c r="J151" s="146"/>
      <c r="K151" s="146"/>
      <c r="L151" s="146"/>
      <c r="M151" s="146"/>
      <c r="N151" s="146"/>
      <c r="O151" s="146"/>
      <c r="P151" s="146"/>
      <c r="Q151" s="146"/>
      <c r="R151" s="146"/>
      <c r="S151" s="146"/>
      <c r="T151" s="146"/>
      <c r="U151" s="146"/>
      <c r="V151" s="146"/>
      <c r="W151" s="146"/>
      <c r="X151" s="146"/>
      <c r="Y151" s="146"/>
      <c r="Z151" s="146"/>
      <c r="AA151" s="146"/>
      <c r="AB151" s="146"/>
      <c r="AC151" s="146"/>
      <c r="AD151" s="146"/>
      <c r="AE151" s="146"/>
      <c r="AF151" s="146"/>
      <c r="AG151" s="146"/>
      <c r="AH151" s="146"/>
      <c r="AI151" s="146"/>
      <c r="AJ151" s="146"/>
      <c r="AK151" s="146"/>
      <c r="AL151" s="146"/>
      <c r="AM151" s="146"/>
      <c r="AN151" s="146"/>
      <c r="AO151" s="146"/>
      <c r="AP151" s="146"/>
      <c r="AQ151" s="146"/>
      <c r="AR151" s="146"/>
      <c r="AS151" s="146"/>
      <c r="AT151" s="146"/>
      <c r="AU151" s="146"/>
      <c r="AV151" s="146"/>
      <c r="AW151" s="146"/>
      <c r="AX151" s="146"/>
      <c r="AY151" s="146"/>
    </row>
    <row r="152" spans="2:52" ht="13.5" customHeight="1">
      <c r="C152" s="377"/>
      <c r="D152" s="377"/>
      <c r="E152" s="146"/>
      <c r="F152" s="146"/>
      <c r="G152" s="146"/>
      <c r="H152" s="146"/>
      <c r="I152" s="146"/>
      <c r="J152" s="146"/>
      <c r="K152" s="146"/>
      <c r="L152" s="146"/>
      <c r="M152" s="146"/>
      <c r="N152" s="146"/>
      <c r="O152" s="146"/>
      <c r="P152" s="146"/>
      <c r="Q152" s="146"/>
      <c r="R152" s="146"/>
      <c r="S152" s="146"/>
      <c r="T152" s="146"/>
      <c r="U152" s="146"/>
      <c r="V152" s="146"/>
      <c r="W152" s="146"/>
      <c r="X152" s="146"/>
      <c r="Y152" s="146"/>
      <c r="Z152" s="146"/>
      <c r="AA152" s="146"/>
      <c r="AB152" s="146"/>
      <c r="AC152" s="146"/>
      <c r="AD152" s="146"/>
      <c r="AE152" s="146"/>
      <c r="AF152" s="146"/>
      <c r="AG152" s="146"/>
      <c r="AH152" s="146"/>
      <c r="AI152" s="146"/>
      <c r="AJ152" s="146"/>
      <c r="AK152" s="146"/>
      <c r="AL152" s="146"/>
      <c r="AM152" s="146"/>
      <c r="AN152" s="146"/>
      <c r="AO152" s="146"/>
      <c r="AP152" s="146"/>
      <c r="AQ152" s="146"/>
      <c r="AR152" s="146"/>
      <c r="AS152" s="146"/>
      <c r="AT152" s="146"/>
      <c r="AU152" s="146"/>
      <c r="AV152" s="146"/>
      <c r="AW152" s="146"/>
      <c r="AX152" s="146"/>
      <c r="AY152" s="146"/>
    </row>
    <row r="153" spans="2:52" ht="13.5" customHeight="1">
      <c r="C153" s="377"/>
      <c r="D153" s="377"/>
      <c r="E153" s="146"/>
      <c r="F153" s="146"/>
      <c r="G153" s="146"/>
      <c r="H153" s="146"/>
      <c r="I153" s="146"/>
      <c r="J153" s="146"/>
      <c r="K153" s="146"/>
      <c r="L153" s="146"/>
      <c r="M153" s="146"/>
      <c r="N153" s="146"/>
      <c r="O153" s="146"/>
      <c r="P153" s="146"/>
      <c r="Q153" s="146"/>
      <c r="R153" s="146"/>
      <c r="S153" s="146"/>
      <c r="T153" s="146"/>
      <c r="U153" s="146"/>
      <c r="V153" s="146"/>
      <c r="W153" s="146"/>
      <c r="X153" s="146"/>
      <c r="Y153" s="146"/>
      <c r="Z153" s="146"/>
      <c r="AA153" s="146"/>
      <c r="AB153" s="146"/>
      <c r="AC153" s="146"/>
      <c r="AD153" s="146"/>
      <c r="AE153" s="146"/>
      <c r="AF153" s="146"/>
      <c r="AG153" s="146"/>
      <c r="AH153" s="146"/>
      <c r="AI153" s="146"/>
      <c r="AJ153" s="146"/>
      <c r="AK153" s="146"/>
      <c r="AL153" s="146"/>
      <c r="AM153" s="146"/>
      <c r="AN153" s="146"/>
      <c r="AO153" s="146"/>
      <c r="AP153" s="146"/>
      <c r="AQ153" s="146"/>
      <c r="AR153" s="146"/>
      <c r="AS153" s="146"/>
      <c r="AT153" s="146"/>
      <c r="AU153" s="146"/>
      <c r="AV153" s="146"/>
      <c r="AW153" s="146"/>
      <c r="AX153" s="146"/>
      <c r="AY153" s="146"/>
    </row>
    <row r="154" spans="2:52" ht="13.5" customHeight="1">
      <c r="C154" s="377"/>
      <c r="D154" s="377"/>
      <c r="E154" s="146"/>
      <c r="F154" s="146"/>
      <c r="G154" s="146"/>
      <c r="H154" s="146"/>
      <c r="I154" s="146"/>
      <c r="J154" s="146"/>
      <c r="K154" s="146"/>
      <c r="L154" s="146"/>
      <c r="M154" s="146"/>
      <c r="N154" s="146"/>
      <c r="O154" s="146"/>
      <c r="P154" s="146"/>
      <c r="Q154" s="146"/>
      <c r="R154" s="146"/>
      <c r="S154" s="146"/>
      <c r="T154" s="146"/>
      <c r="U154" s="146"/>
      <c r="V154" s="146"/>
      <c r="W154" s="146"/>
      <c r="X154" s="146"/>
      <c r="Y154" s="146"/>
      <c r="Z154" s="146"/>
      <c r="AA154" s="146"/>
      <c r="AB154" s="146"/>
      <c r="AC154" s="146"/>
      <c r="AD154" s="146"/>
      <c r="AE154" s="146"/>
      <c r="AF154" s="146"/>
      <c r="AG154" s="146"/>
      <c r="AH154" s="146"/>
      <c r="AI154" s="146"/>
      <c r="AJ154" s="146"/>
      <c r="AK154" s="146"/>
      <c r="AL154" s="146"/>
      <c r="AM154" s="146"/>
      <c r="AN154" s="146"/>
      <c r="AO154" s="146"/>
      <c r="AP154" s="146"/>
      <c r="AQ154" s="146"/>
      <c r="AR154" s="146"/>
      <c r="AS154" s="146"/>
      <c r="AT154" s="146"/>
      <c r="AU154" s="146"/>
      <c r="AV154" s="146"/>
      <c r="AW154" s="146"/>
      <c r="AX154" s="146"/>
      <c r="AY154" s="146"/>
    </row>
    <row r="155" spans="2:52" ht="13.5" customHeight="1">
      <c r="C155" s="377"/>
      <c r="D155" s="377"/>
      <c r="E155" s="146"/>
      <c r="F155" s="146"/>
      <c r="G155" s="146"/>
      <c r="H155" s="146"/>
      <c r="I155" s="146"/>
      <c r="J155" s="146"/>
      <c r="K155" s="146"/>
      <c r="L155" s="146"/>
      <c r="M155" s="146"/>
      <c r="N155" s="146"/>
      <c r="O155" s="146"/>
      <c r="P155" s="146"/>
      <c r="Q155" s="146"/>
      <c r="R155" s="146"/>
      <c r="S155" s="146"/>
      <c r="T155" s="146"/>
      <c r="U155" s="146"/>
      <c r="V155" s="146"/>
      <c r="W155" s="146"/>
      <c r="X155" s="146"/>
      <c r="Y155" s="146"/>
      <c r="Z155" s="146"/>
      <c r="AA155" s="146"/>
      <c r="AB155" s="146"/>
      <c r="AC155" s="146"/>
      <c r="AD155" s="146"/>
      <c r="AE155" s="146"/>
      <c r="AF155" s="146"/>
      <c r="AG155" s="146"/>
      <c r="AH155" s="146"/>
      <c r="AI155" s="146"/>
      <c r="AJ155" s="146"/>
      <c r="AK155" s="146"/>
      <c r="AL155" s="146"/>
      <c r="AM155" s="146"/>
      <c r="AN155" s="146"/>
      <c r="AO155" s="146"/>
      <c r="AP155" s="146"/>
      <c r="AQ155" s="146"/>
      <c r="AR155" s="146"/>
      <c r="AS155" s="146"/>
      <c r="AT155" s="146"/>
      <c r="AU155" s="146"/>
      <c r="AV155" s="146"/>
      <c r="AW155" s="146"/>
      <c r="AX155" s="146"/>
      <c r="AY155" s="146"/>
    </row>
    <row r="156" spans="2:52" ht="13.5" customHeight="1">
      <c r="C156" s="377"/>
      <c r="D156" s="377"/>
      <c r="E156" s="146"/>
      <c r="F156" s="146"/>
      <c r="G156" s="146"/>
      <c r="H156" s="146"/>
      <c r="I156" s="146"/>
      <c r="J156" s="146"/>
      <c r="K156" s="146"/>
      <c r="L156" s="146"/>
      <c r="M156" s="146"/>
      <c r="N156" s="146"/>
      <c r="O156" s="146"/>
      <c r="P156" s="146"/>
      <c r="Q156" s="146"/>
      <c r="R156" s="146"/>
      <c r="S156" s="146"/>
      <c r="T156" s="146"/>
      <c r="U156" s="146"/>
      <c r="V156" s="146"/>
      <c r="W156" s="146"/>
      <c r="X156" s="146"/>
      <c r="Y156" s="146"/>
      <c r="Z156" s="146"/>
      <c r="AA156" s="146"/>
      <c r="AB156" s="146"/>
      <c r="AC156" s="146"/>
      <c r="AD156" s="146"/>
      <c r="AE156" s="146"/>
      <c r="AF156" s="146"/>
      <c r="AG156" s="146"/>
      <c r="AH156" s="146"/>
      <c r="AI156" s="146"/>
      <c r="AJ156" s="146"/>
      <c r="AK156" s="146"/>
      <c r="AL156" s="146"/>
      <c r="AM156" s="146"/>
      <c r="AN156" s="146"/>
      <c r="AO156" s="146"/>
      <c r="AP156" s="146"/>
      <c r="AQ156" s="146"/>
      <c r="AR156" s="146"/>
      <c r="AS156" s="146"/>
      <c r="AT156" s="146"/>
      <c r="AU156" s="146"/>
      <c r="AV156" s="146"/>
      <c r="AW156" s="146"/>
      <c r="AX156" s="146"/>
      <c r="AY156" s="146"/>
    </row>
    <row r="157" spans="2:52" ht="13.5" customHeight="1">
      <c r="C157" s="377"/>
      <c r="D157" s="377"/>
      <c r="E157" s="146"/>
      <c r="F157" s="146"/>
      <c r="G157" s="146"/>
      <c r="H157" s="146"/>
      <c r="I157" s="146"/>
      <c r="J157" s="146"/>
      <c r="K157" s="146"/>
      <c r="L157" s="146"/>
      <c r="M157" s="146"/>
      <c r="N157" s="146"/>
      <c r="O157" s="146"/>
      <c r="P157" s="146"/>
      <c r="Q157" s="146"/>
      <c r="R157" s="146"/>
      <c r="S157" s="146"/>
      <c r="T157" s="146"/>
      <c r="U157" s="146"/>
      <c r="V157" s="146"/>
      <c r="W157" s="146"/>
      <c r="X157" s="146"/>
      <c r="Y157" s="146"/>
      <c r="Z157" s="146"/>
      <c r="AA157" s="146"/>
      <c r="AB157" s="146"/>
      <c r="AC157" s="146"/>
      <c r="AD157" s="146"/>
      <c r="AE157" s="146"/>
      <c r="AF157" s="146"/>
      <c r="AG157" s="146"/>
      <c r="AH157" s="146"/>
      <c r="AI157" s="146"/>
      <c r="AJ157" s="146"/>
      <c r="AK157" s="146"/>
      <c r="AL157" s="146"/>
      <c r="AM157" s="146"/>
      <c r="AN157" s="146"/>
      <c r="AO157" s="146"/>
      <c r="AP157" s="146"/>
      <c r="AQ157" s="146"/>
      <c r="AR157" s="146"/>
      <c r="AS157" s="146"/>
      <c r="AT157" s="146"/>
      <c r="AU157" s="146"/>
      <c r="AV157" s="146"/>
      <c r="AW157" s="146"/>
      <c r="AX157" s="146"/>
      <c r="AY157" s="146"/>
    </row>
    <row r="158" spans="2:52" ht="13.5" customHeight="1">
      <c r="C158" s="377"/>
      <c r="D158" s="377"/>
      <c r="E158" s="146"/>
      <c r="F158" s="146"/>
      <c r="G158" s="146"/>
      <c r="H158" s="146"/>
      <c r="I158" s="146"/>
      <c r="J158" s="146"/>
      <c r="K158" s="146"/>
      <c r="L158" s="146"/>
      <c r="M158" s="146"/>
      <c r="N158" s="146"/>
      <c r="O158" s="146"/>
      <c r="P158" s="146"/>
      <c r="Q158" s="146"/>
      <c r="R158" s="146"/>
      <c r="S158" s="146"/>
      <c r="T158" s="146"/>
      <c r="U158" s="146"/>
      <c r="V158" s="146"/>
      <c r="W158" s="146"/>
      <c r="X158" s="146"/>
      <c r="Y158" s="146"/>
      <c r="Z158" s="146"/>
      <c r="AA158" s="146"/>
      <c r="AB158" s="146"/>
      <c r="AC158" s="146"/>
      <c r="AD158" s="146"/>
      <c r="AE158" s="146"/>
      <c r="AF158" s="146"/>
      <c r="AG158" s="146"/>
      <c r="AH158" s="146"/>
      <c r="AI158" s="146"/>
      <c r="AJ158" s="146"/>
      <c r="AK158" s="146"/>
      <c r="AL158" s="146"/>
      <c r="AM158" s="146"/>
      <c r="AN158" s="146"/>
      <c r="AO158" s="146"/>
      <c r="AP158" s="146"/>
      <c r="AQ158" s="146"/>
      <c r="AR158" s="146"/>
      <c r="AS158" s="146"/>
      <c r="AT158" s="146"/>
      <c r="AU158" s="146"/>
      <c r="AV158" s="146"/>
      <c r="AW158" s="146"/>
      <c r="AX158" s="146"/>
      <c r="AY158" s="146"/>
    </row>
    <row r="159" spans="2:52" ht="13.5" customHeight="1">
      <c r="C159" s="377"/>
      <c r="D159" s="377"/>
      <c r="E159" s="146"/>
      <c r="F159" s="146"/>
      <c r="G159" s="146"/>
      <c r="H159" s="146"/>
      <c r="I159" s="146"/>
      <c r="J159" s="146"/>
      <c r="K159" s="146"/>
      <c r="L159" s="146"/>
      <c r="M159" s="146"/>
      <c r="N159" s="146"/>
      <c r="O159" s="146"/>
      <c r="P159" s="146"/>
      <c r="Q159" s="146"/>
      <c r="R159" s="146"/>
      <c r="S159" s="146"/>
      <c r="T159" s="146"/>
      <c r="U159" s="146"/>
      <c r="V159" s="146"/>
      <c r="W159" s="146"/>
      <c r="X159" s="146"/>
      <c r="Y159" s="146"/>
      <c r="Z159" s="146"/>
      <c r="AA159" s="146"/>
      <c r="AB159" s="146"/>
      <c r="AC159" s="146"/>
      <c r="AD159" s="146"/>
      <c r="AE159" s="146"/>
      <c r="AF159" s="146"/>
      <c r="AG159" s="146"/>
      <c r="AH159" s="146"/>
      <c r="AI159" s="146"/>
      <c r="AJ159" s="146"/>
      <c r="AK159" s="146"/>
      <c r="AL159" s="146"/>
      <c r="AM159" s="146"/>
      <c r="AN159" s="146"/>
      <c r="AO159" s="146"/>
      <c r="AP159" s="146"/>
      <c r="AQ159" s="146"/>
      <c r="AR159" s="146"/>
      <c r="AS159" s="146"/>
      <c r="AT159" s="146"/>
      <c r="AU159" s="146"/>
      <c r="AV159" s="146"/>
      <c r="AW159" s="146"/>
      <c r="AX159" s="146"/>
      <c r="AY159" s="146"/>
    </row>
    <row r="160" spans="2:52" ht="13.5" hidden="1" customHeight="1">
      <c r="C160" s="377"/>
      <c r="D160" s="377"/>
      <c r="E160" s="146"/>
      <c r="F160" s="146"/>
      <c r="G160" s="146"/>
      <c r="H160" s="146"/>
      <c r="I160" s="146"/>
      <c r="J160" s="146"/>
      <c r="K160" s="146"/>
      <c r="L160" s="146"/>
      <c r="M160" s="146"/>
      <c r="N160" s="146"/>
      <c r="O160" s="146"/>
      <c r="P160" s="146"/>
      <c r="Q160" s="146"/>
      <c r="R160" s="146"/>
      <c r="S160" s="146"/>
      <c r="T160" s="146"/>
      <c r="U160" s="146"/>
      <c r="V160" s="146"/>
      <c r="W160" s="146"/>
      <c r="X160" s="146"/>
      <c r="Y160" s="146"/>
      <c r="Z160" s="146"/>
      <c r="AA160" s="146"/>
      <c r="AB160" s="146"/>
      <c r="AC160" s="146"/>
      <c r="AD160" s="146"/>
      <c r="AE160" s="146"/>
      <c r="AF160" s="146"/>
      <c r="AG160" s="146"/>
      <c r="AH160" s="146"/>
      <c r="AI160" s="146"/>
      <c r="AJ160" s="146"/>
      <c r="AK160" s="146"/>
      <c r="AL160" s="146"/>
      <c r="AM160" s="146"/>
      <c r="AN160" s="146"/>
      <c r="AO160" s="146"/>
      <c r="AP160" s="146"/>
      <c r="AQ160" s="146"/>
      <c r="AR160" s="146"/>
      <c r="AS160" s="146"/>
      <c r="AT160" s="146"/>
      <c r="AU160" s="146"/>
      <c r="AV160" s="146"/>
      <c r="AW160" s="146"/>
      <c r="AX160" s="146"/>
      <c r="AY160" s="146"/>
    </row>
    <row r="161" spans="3:51" ht="13.5" hidden="1" customHeight="1">
      <c r="C161" s="377"/>
      <c r="D161" s="377"/>
      <c r="E161" s="146"/>
      <c r="F161" s="146"/>
      <c r="G161" s="146"/>
      <c r="H161" s="146"/>
      <c r="I161" s="146"/>
      <c r="J161" s="146"/>
      <c r="K161" s="146"/>
      <c r="L161" s="146"/>
      <c r="M161" s="146"/>
      <c r="N161" s="146"/>
      <c r="O161" s="146"/>
      <c r="P161" s="146"/>
      <c r="Q161" s="146"/>
      <c r="R161" s="146"/>
      <c r="S161" s="146"/>
      <c r="T161" s="146"/>
      <c r="U161" s="146"/>
      <c r="V161" s="146"/>
      <c r="W161" s="146"/>
      <c r="X161" s="146"/>
      <c r="Y161" s="146"/>
      <c r="Z161" s="146"/>
      <c r="AA161" s="146"/>
      <c r="AB161" s="146"/>
      <c r="AC161" s="146"/>
      <c r="AD161" s="146"/>
      <c r="AE161" s="146"/>
      <c r="AF161" s="146"/>
      <c r="AG161" s="146"/>
      <c r="AH161" s="146"/>
      <c r="AI161" s="146"/>
      <c r="AJ161" s="146"/>
      <c r="AK161" s="146"/>
      <c r="AL161" s="146"/>
      <c r="AM161" s="146"/>
      <c r="AN161" s="146"/>
      <c r="AO161" s="146"/>
      <c r="AP161" s="146"/>
      <c r="AQ161" s="146"/>
      <c r="AR161" s="146"/>
      <c r="AS161" s="146"/>
      <c r="AT161" s="146"/>
      <c r="AU161" s="146"/>
      <c r="AV161" s="146"/>
      <c r="AW161" s="146"/>
      <c r="AX161" s="146"/>
      <c r="AY161" s="146"/>
    </row>
    <row r="162" spans="3:51" ht="13.5" customHeight="1">
      <c r="C162" s="377"/>
      <c r="D162" s="377"/>
      <c r="E162" s="146"/>
      <c r="F162" s="146"/>
      <c r="G162" s="146"/>
      <c r="H162" s="146"/>
      <c r="I162" s="146"/>
      <c r="J162" s="146"/>
      <c r="K162" s="146"/>
      <c r="L162" s="146"/>
      <c r="M162" s="146"/>
      <c r="N162" s="146"/>
      <c r="O162" s="146"/>
      <c r="P162" s="146"/>
      <c r="Q162" s="146"/>
      <c r="R162" s="146"/>
      <c r="S162" s="146"/>
      <c r="T162" s="146"/>
      <c r="U162" s="146"/>
      <c r="V162" s="146"/>
      <c r="W162" s="146"/>
      <c r="X162" s="146"/>
      <c r="Y162" s="146"/>
      <c r="Z162" s="146"/>
      <c r="AA162" s="146"/>
      <c r="AB162" s="146"/>
      <c r="AC162" s="146"/>
      <c r="AD162" s="146"/>
      <c r="AE162" s="146"/>
      <c r="AF162" s="146"/>
      <c r="AG162" s="146"/>
      <c r="AH162" s="146"/>
      <c r="AI162" s="146"/>
      <c r="AJ162" s="146"/>
      <c r="AK162" s="146"/>
      <c r="AL162" s="146"/>
      <c r="AM162" s="146"/>
      <c r="AN162" s="146"/>
      <c r="AO162" s="146"/>
      <c r="AP162" s="146"/>
      <c r="AQ162" s="146"/>
      <c r="AR162" s="146"/>
      <c r="AS162" s="146"/>
      <c r="AT162" s="146"/>
      <c r="AU162" s="146"/>
      <c r="AV162" s="146"/>
      <c r="AW162" s="146"/>
      <c r="AX162" s="146"/>
      <c r="AY162" s="146"/>
    </row>
    <row r="163" spans="3:51" ht="13.5" customHeight="1">
      <c r="C163" s="377"/>
      <c r="D163" s="377"/>
      <c r="E163" s="146"/>
      <c r="F163" s="146"/>
      <c r="G163" s="146"/>
      <c r="H163" s="146"/>
      <c r="I163" s="146"/>
      <c r="J163" s="146"/>
      <c r="K163" s="146"/>
      <c r="L163" s="146"/>
      <c r="M163" s="146"/>
      <c r="N163" s="146"/>
      <c r="O163" s="146"/>
      <c r="P163" s="146"/>
      <c r="Q163" s="146"/>
      <c r="R163" s="146"/>
      <c r="S163" s="146"/>
      <c r="T163" s="146"/>
      <c r="U163" s="146"/>
      <c r="V163" s="146"/>
      <c r="W163" s="146"/>
      <c r="X163" s="146"/>
      <c r="Y163" s="146"/>
      <c r="Z163" s="146"/>
      <c r="AA163" s="146"/>
      <c r="AB163" s="146"/>
      <c r="AC163" s="146"/>
      <c r="AD163" s="146"/>
      <c r="AE163" s="146"/>
      <c r="AF163" s="146"/>
      <c r="AG163" s="146"/>
      <c r="AH163" s="146"/>
      <c r="AI163" s="146"/>
      <c r="AJ163" s="146"/>
      <c r="AK163" s="146"/>
      <c r="AL163" s="146"/>
      <c r="AM163" s="146"/>
      <c r="AN163" s="146"/>
      <c r="AO163" s="146"/>
      <c r="AP163" s="146"/>
      <c r="AQ163" s="146"/>
      <c r="AR163" s="146"/>
      <c r="AS163" s="146"/>
      <c r="AT163" s="146"/>
      <c r="AU163" s="146"/>
      <c r="AV163" s="146"/>
      <c r="AW163" s="146"/>
      <c r="AX163" s="146"/>
      <c r="AY163" s="146"/>
    </row>
    <row r="164" spans="3:51" ht="13.5" customHeight="1">
      <c r="C164" s="377"/>
      <c r="D164" s="377"/>
      <c r="E164" s="146"/>
      <c r="F164" s="146"/>
      <c r="G164" s="146"/>
      <c r="H164" s="146"/>
      <c r="I164" s="146"/>
      <c r="J164" s="146"/>
      <c r="K164" s="146"/>
      <c r="L164" s="146"/>
      <c r="M164" s="146"/>
      <c r="N164" s="146"/>
      <c r="O164" s="146"/>
      <c r="P164" s="146"/>
      <c r="Q164" s="146"/>
      <c r="R164" s="146"/>
      <c r="S164" s="146"/>
      <c r="T164" s="146"/>
      <c r="U164" s="146"/>
      <c r="V164" s="146"/>
      <c r="W164" s="146"/>
      <c r="X164" s="146"/>
      <c r="Y164" s="146"/>
      <c r="Z164" s="146"/>
      <c r="AA164" s="146"/>
      <c r="AB164" s="146"/>
      <c r="AC164" s="146"/>
      <c r="AD164" s="146"/>
      <c r="AE164" s="146"/>
      <c r="AF164" s="146"/>
      <c r="AG164" s="146"/>
      <c r="AH164" s="146"/>
      <c r="AI164" s="146"/>
      <c r="AJ164" s="146"/>
      <c r="AK164" s="146"/>
      <c r="AL164" s="146"/>
      <c r="AM164" s="146"/>
      <c r="AN164" s="146"/>
      <c r="AO164" s="146"/>
      <c r="AP164" s="146"/>
      <c r="AQ164" s="146"/>
      <c r="AR164" s="146"/>
      <c r="AS164" s="146"/>
      <c r="AT164" s="146"/>
      <c r="AU164" s="146"/>
      <c r="AV164" s="146"/>
      <c r="AW164" s="146"/>
      <c r="AX164" s="146"/>
      <c r="AY164" s="146"/>
    </row>
    <row r="165" spans="3:51" ht="13.5" customHeight="1">
      <c r="C165" s="377"/>
      <c r="D165" s="377"/>
      <c r="E165" s="146"/>
      <c r="F165" s="146"/>
      <c r="G165" s="146"/>
      <c r="H165" s="146"/>
      <c r="I165" s="146"/>
      <c r="J165" s="146"/>
      <c r="K165" s="146"/>
      <c r="L165" s="146"/>
      <c r="M165" s="146"/>
      <c r="N165" s="146"/>
      <c r="O165" s="146"/>
      <c r="P165" s="146"/>
      <c r="Q165" s="146"/>
      <c r="R165" s="146"/>
      <c r="S165" s="146"/>
      <c r="T165" s="146"/>
      <c r="U165" s="146"/>
      <c r="V165" s="146"/>
      <c r="W165" s="146"/>
      <c r="X165" s="146"/>
      <c r="Y165" s="146"/>
      <c r="Z165" s="146"/>
      <c r="AA165" s="146"/>
      <c r="AB165" s="146"/>
      <c r="AC165" s="146"/>
      <c r="AD165" s="146"/>
      <c r="AE165" s="146"/>
      <c r="AF165" s="146"/>
      <c r="AG165" s="146"/>
      <c r="AH165" s="146"/>
      <c r="AI165" s="146"/>
      <c r="AJ165" s="146"/>
      <c r="AK165" s="146"/>
      <c r="AL165" s="146"/>
      <c r="AM165" s="146"/>
      <c r="AN165" s="146"/>
      <c r="AO165" s="146"/>
      <c r="AP165" s="146"/>
      <c r="AQ165" s="146"/>
      <c r="AR165" s="146"/>
      <c r="AS165" s="146"/>
      <c r="AT165" s="146"/>
      <c r="AU165" s="146"/>
      <c r="AV165" s="146"/>
      <c r="AW165" s="146"/>
      <c r="AX165" s="146"/>
      <c r="AY165" s="146"/>
    </row>
    <row r="166" spans="3:51" ht="13.5" customHeight="1">
      <c r="C166" s="377"/>
      <c r="D166" s="377"/>
      <c r="E166" s="146"/>
      <c r="F166" s="146"/>
      <c r="G166" s="146"/>
      <c r="H166" s="146"/>
      <c r="I166" s="146"/>
      <c r="J166" s="146"/>
      <c r="K166" s="146"/>
      <c r="L166" s="146"/>
      <c r="M166" s="146"/>
      <c r="N166" s="146"/>
      <c r="O166" s="146"/>
      <c r="P166" s="146"/>
      <c r="Q166" s="146"/>
      <c r="R166" s="146"/>
      <c r="S166" s="146"/>
      <c r="T166" s="146"/>
      <c r="U166" s="146"/>
      <c r="V166" s="146"/>
      <c r="W166" s="146"/>
      <c r="X166" s="146"/>
      <c r="Y166" s="146"/>
      <c r="Z166" s="146"/>
      <c r="AA166" s="146"/>
      <c r="AB166" s="146"/>
      <c r="AC166" s="146"/>
      <c r="AD166" s="146"/>
      <c r="AE166" s="146"/>
      <c r="AF166" s="146"/>
      <c r="AG166" s="146"/>
      <c r="AH166" s="146"/>
      <c r="AI166" s="146"/>
      <c r="AJ166" s="146"/>
      <c r="AK166" s="146"/>
      <c r="AL166" s="146"/>
      <c r="AM166" s="146"/>
      <c r="AN166" s="146"/>
      <c r="AO166" s="146"/>
      <c r="AP166" s="146"/>
      <c r="AQ166" s="146"/>
      <c r="AR166" s="146"/>
      <c r="AS166" s="146"/>
      <c r="AT166" s="146"/>
      <c r="AU166" s="146"/>
      <c r="AV166" s="146"/>
      <c r="AW166" s="146"/>
      <c r="AX166" s="146"/>
      <c r="AY166" s="146"/>
    </row>
    <row r="167" spans="3:51" ht="13.5" customHeight="1">
      <c r="C167" s="377"/>
      <c r="D167" s="377"/>
      <c r="E167" s="146"/>
      <c r="F167" s="146"/>
      <c r="G167" s="146"/>
      <c r="H167" s="146"/>
      <c r="I167" s="146"/>
      <c r="J167" s="146"/>
      <c r="K167" s="146"/>
      <c r="L167" s="146"/>
      <c r="M167" s="146"/>
      <c r="N167" s="146"/>
      <c r="O167" s="146"/>
      <c r="P167" s="146"/>
      <c r="Q167" s="146"/>
      <c r="R167" s="146"/>
      <c r="S167" s="146"/>
      <c r="T167" s="146"/>
      <c r="U167" s="146"/>
      <c r="V167" s="146"/>
      <c r="W167" s="146"/>
      <c r="X167" s="146"/>
      <c r="Y167" s="146"/>
      <c r="Z167" s="146"/>
      <c r="AA167" s="146"/>
      <c r="AB167" s="146"/>
      <c r="AC167" s="146"/>
      <c r="AD167" s="146"/>
      <c r="AE167" s="146"/>
      <c r="AF167" s="146"/>
      <c r="AG167" s="146"/>
      <c r="AH167" s="146"/>
      <c r="AI167" s="146"/>
      <c r="AJ167" s="146"/>
      <c r="AK167" s="146"/>
      <c r="AL167" s="146"/>
      <c r="AM167" s="146"/>
      <c r="AN167" s="146"/>
      <c r="AO167" s="146"/>
      <c r="AP167" s="146"/>
      <c r="AQ167" s="146"/>
      <c r="AR167" s="146"/>
      <c r="AS167" s="146"/>
      <c r="AT167" s="146"/>
      <c r="AU167" s="146"/>
      <c r="AV167" s="146"/>
      <c r="AW167" s="146"/>
      <c r="AX167" s="146"/>
      <c r="AY167" s="146"/>
    </row>
    <row r="168" spans="3:51" ht="13.5" customHeight="1">
      <c r="C168" s="377"/>
      <c r="D168" s="377"/>
      <c r="E168" s="146"/>
      <c r="F168" s="146"/>
      <c r="G168" s="146"/>
      <c r="H168" s="146"/>
      <c r="I168" s="146"/>
      <c r="J168" s="146"/>
      <c r="K168" s="146"/>
      <c r="L168" s="146"/>
      <c r="M168" s="146"/>
      <c r="N168" s="146"/>
      <c r="O168" s="146"/>
      <c r="P168" s="146"/>
      <c r="Q168" s="146"/>
      <c r="R168" s="146"/>
      <c r="S168" s="146"/>
      <c r="T168" s="146"/>
      <c r="U168" s="146"/>
      <c r="V168" s="146"/>
      <c r="W168" s="146"/>
      <c r="X168" s="146"/>
      <c r="Y168" s="146"/>
      <c r="Z168" s="146"/>
      <c r="AA168" s="146"/>
      <c r="AB168" s="146"/>
      <c r="AC168" s="146"/>
      <c r="AD168" s="146"/>
      <c r="AE168" s="146"/>
      <c r="AF168" s="146"/>
      <c r="AG168" s="146"/>
      <c r="AH168" s="146"/>
      <c r="AI168" s="146"/>
      <c r="AJ168" s="146"/>
      <c r="AK168" s="146"/>
      <c r="AL168" s="146"/>
      <c r="AM168" s="146"/>
      <c r="AN168" s="146"/>
      <c r="AO168" s="146"/>
      <c r="AP168" s="146"/>
      <c r="AQ168" s="146"/>
      <c r="AR168" s="146"/>
      <c r="AS168" s="146"/>
      <c r="AT168" s="146"/>
      <c r="AU168" s="146"/>
      <c r="AV168" s="146"/>
      <c r="AW168" s="146"/>
      <c r="AX168" s="146"/>
      <c r="AY168" s="146"/>
    </row>
    <row r="169" spans="3:51" ht="13.5" customHeight="1">
      <c r="C169" s="377"/>
      <c r="D169" s="377"/>
      <c r="E169" s="146"/>
      <c r="F169" s="146"/>
      <c r="G169" s="146"/>
      <c r="H169" s="146"/>
      <c r="I169" s="146"/>
      <c r="J169" s="146"/>
      <c r="K169" s="146"/>
      <c r="L169" s="146"/>
      <c r="M169" s="146"/>
      <c r="N169" s="146"/>
      <c r="O169" s="146"/>
      <c r="P169" s="146"/>
      <c r="Q169" s="146"/>
      <c r="R169" s="146"/>
      <c r="S169" s="146"/>
      <c r="T169" s="146"/>
      <c r="U169" s="146"/>
      <c r="V169" s="146"/>
      <c r="W169" s="146"/>
      <c r="X169" s="146"/>
      <c r="Y169" s="146"/>
      <c r="Z169" s="146"/>
      <c r="AA169" s="146"/>
      <c r="AB169" s="146"/>
      <c r="AC169" s="146"/>
      <c r="AD169" s="146"/>
      <c r="AE169" s="146"/>
      <c r="AF169" s="146"/>
      <c r="AG169" s="146"/>
      <c r="AH169" s="146"/>
      <c r="AI169" s="146"/>
      <c r="AJ169" s="146"/>
      <c r="AK169" s="146"/>
      <c r="AL169" s="146"/>
      <c r="AM169" s="146"/>
      <c r="AN169" s="146"/>
      <c r="AO169" s="146"/>
      <c r="AP169" s="146"/>
      <c r="AQ169" s="146"/>
      <c r="AR169" s="146"/>
      <c r="AS169" s="146"/>
      <c r="AT169" s="146"/>
      <c r="AU169" s="146"/>
      <c r="AV169" s="146"/>
      <c r="AW169" s="146"/>
      <c r="AX169" s="146"/>
      <c r="AY169" s="146"/>
    </row>
    <row r="170" spans="3:51" ht="13.5" customHeight="1">
      <c r="C170" s="377"/>
      <c r="D170" s="377"/>
      <c r="E170" s="146"/>
      <c r="F170" s="146"/>
      <c r="G170" s="146"/>
      <c r="H170" s="146"/>
      <c r="I170" s="146"/>
      <c r="J170" s="146"/>
      <c r="K170" s="146"/>
      <c r="L170" s="146"/>
      <c r="M170" s="146"/>
      <c r="N170" s="146"/>
      <c r="O170" s="146"/>
      <c r="P170" s="146"/>
      <c r="Q170" s="146"/>
      <c r="R170" s="146"/>
      <c r="S170" s="146"/>
      <c r="T170" s="146"/>
      <c r="U170" s="146"/>
      <c r="V170" s="146"/>
      <c r="W170" s="146"/>
      <c r="X170" s="146"/>
      <c r="Y170" s="146"/>
      <c r="Z170" s="146"/>
      <c r="AA170" s="146"/>
      <c r="AB170" s="146"/>
      <c r="AC170" s="146"/>
      <c r="AD170" s="146"/>
      <c r="AE170" s="146"/>
      <c r="AF170" s="146"/>
      <c r="AG170" s="146"/>
      <c r="AH170" s="146"/>
      <c r="AI170" s="146"/>
      <c r="AJ170" s="146"/>
      <c r="AK170" s="146"/>
      <c r="AL170" s="146"/>
      <c r="AM170" s="146"/>
      <c r="AN170" s="146"/>
      <c r="AO170" s="146"/>
      <c r="AP170" s="146"/>
      <c r="AQ170" s="146"/>
      <c r="AR170" s="146"/>
      <c r="AS170" s="146"/>
      <c r="AT170" s="146"/>
      <c r="AU170" s="146"/>
      <c r="AV170" s="146"/>
      <c r="AW170" s="146"/>
      <c r="AX170" s="146"/>
      <c r="AY170" s="146"/>
    </row>
    <row r="171" spans="3:51" ht="13.5" customHeight="1">
      <c r="C171" s="377"/>
      <c r="D171" s="377"/>
      <c r="E171" s="146"/>
      <c r="F171" s="146"/>
      <c r="G171" s="146"/>
      <c r="H171" s="146"/>
      <c r="I171" s="146"/>
      <c r="J171" s="146"/>
      <c r="K171" s="146"/>
      <c r="L171" s="146"/>
      <c r="M171" s="146"/>
      <c r="N171" s="146"/>
      <c r="O171" s="146"/>
      <c r="P171" s="146"/>
      <c r="Q171" s="146"/>
      <c r="R171" s="146"/>
      <c r="S171" s="146"/>
      <c r="T171" s="146"/>
      <c r="U171" s="146"/>
      <c r="V171" s="146"/>
      <c r="W171" s="146"/>
      <c r="X171" s="146"/>
      <c r="Y171" s="146"/>
      <c r="Z171" s="146"/>
      <c r="AA171" s="146"/>
      <c r="AB171" s="146"/>
      <c r="AC171" s="146"/>
      <c r="AD171" s="146"/>
      <c r="AE171" s="146"/>
      <c r="AF171" s="146"/>
      <c r="AG171" s="146"/>
      <c r="AH171" s="146"/>
      <c r="AI171" s="146"/>
      <c r="AJ171" s="146"/>
      <c r="AK171" s="146"/>
      <c r="AL171" s="146"/>
      <c r="AM171" s="146"/>
      <c r="AN171" s="146"/>
      <c r="AO171" s="146"/>
      <c r="AP171" s="146"/>
      <c r="AQ171" s="146"/>
      <c r="AR171" s="146"/>
      <c r="AS171" s="146"/>
      <c r="AT171" s="146"/>
      <c r="AU171" s="146"/>
      <c r="AV171" s="146"/>
      <c r="AW171" s="146"/>
      <c r="AX171" s="146"/>
      <c r="AY171" s="146"/>
    </row>
    <row r="172" spans="3:51" ht="13.5" customHeight="1">
      <c r="C172" s="377"/>
      <c r="D172" s="377"/>
      <c r="E172" s="146"/>
      <c r="F172" s="146"/>
      <c r="G172" s="146"/>
      <c r="H172" s="146"/>
      <c r="I172" s="146"/>
      <c r="J172" s="146"/>
      <c r="K172" s="146"/>
      <c r="L172" s="146"/>
      <c r="M172" s="146"/>
      <c r="N172" s="146"/>
      <c r="O172" s="146"/>
      <c r="P172" s="146"/>
      <c r="Q172" s="146"/>
      <c r="R172" s="146"/>
      <c r="S172" s="146"/>
      <c r="T172" s="146"/>
      <c r="U172" s="146"/>
      <c r="V172" s="146"/>
      <c r="W172" s="146"/>
      <c r="X172" s="146"/>
      <c r="Y172" s="146"/>
      <c r="Z172" s="146"/>
      <c r="AA172" s="146"/>
      <c r="AB172" s="146"/>
      <c r="AC172" s="146"/>
      <c r="AD172" s="146"/>
      <c r="AE172" s="146"/>
      <c r="AF172" s="146"/>
      <c r="AG172" s="146"/>
      <c r="AH172" s="146"/>
      <c r="AI172" s="146"/>
      <c r="AJ172" s="146"/>
      <c r="AK172" s="146"/>
      <c r="AL172" s="146"/>
      <c r="AM172" s="146"/>
      <c r="AN172" s="146"/>
      <c r="AO172" s="146"/>
      <c r="AP172" s="146"/>
      <c r="AQ172" s="146"/>
      <c r="AR172" s="146"/>
      <c r="AS172" s="146"/>
      <c r="AT172" s="146"/>
      <c r="AU172" s="146"/>
      <c r="AV172" s="146"/>
      <c r="AW172" s="146"/>
      <c r="AX172" s="146"/>
      <c r="AY172" s="146"/>
    </row>
    <row r="173" spans="3:51" ht="13.5" customHeight="1">
      <c r="C173" s="377"/>
      <c r="D173" s="377"/>
      <c r="E173" s="146"/>
      <c r="F173" s="146"/>
      <c r="G173" s="146"/>
      <c r="H173" s="146"/>
      <c r="I173" s="146"/>
      <c r="J173" s="146"/>
      <c r="K173" s="146"/>
      <c r="L173" s="146"/>
      <c r="M173" s="146"/>
      <c r="N173" s="146"/>
      <c r="O173" s="146"/>
      <c r="P173" s="146"/>
      <c r="Q173" s="146"/>
      <c r="R173" s="146"/>
      <c r="S173" s="146"/>
      <c r="T173" s="146"/>
      <c r="U173" s="146"/>
      <c r="V173" s="146"/>
      <c r="W173" s="146"/>
      <c r="X173" s="146"/>
      <c r="Y173" s="146"/>
      <c r="Z173" s="146"/>
      <c r="AA173" s="146"/>
      <c r="AB173" s="146"/>
      <c r="AC173" s="146"/>
      <c r="AD173" s="146"/>
      <c r="AE173" s="146"/>
      <c r="AF173" s="146"/>
      <c r="AG173" s="146"/>
      <c r="AH173" s="146"/>
      <c r="AI173" s="146"/>
      <c r="AJ173" s="146"/>
      <c r="AK173" s="146"/>
      <c r="AL173" s="146"/>
      <c r="AM173" s="146"/>
      <c r="AN173" s="146"/>
      <c r="AO173" s="146"/>
      <c r="AP173" s="146"/>
      <c r="AQ173" s="146"/>
      <c r="AR173" s="146"/>
      <c r="AS173" s="146"/>
      <c r="AT173" s="146"/>
      <c r="AU173" s="146"/>
      <c r="AV173" s="146"/>
      <c r="AW173" s="146"/>
      <c r="AX173" s="146"/>
      <c r="AY173" s="146"/>
    </row>
    <row r="174" spans="3:51" ht="13.5" customHeight="1">
      <c r="C174" s="377"/>
      <c r="D174" s="377"/>
      <c r="E174" s="146"/>
      <c r="F174" s="146"/>
      <c r="G174" s="146"/>
      <c r="H174" s="146"/>
      <c r="I174" s="146"/>
      <c r="J174" s="146"/>
      <c r="K174" s="146"/>
      <c r="L174" s="146"/>
      <c r="M174" s="146"/>
      <c r="N174" s="146"/>
      <c r="O174" s="146"/>
      <c r="P174" s="146"/>
      <c r="Q174" s="146"/>
      <c r="R174" s="146"/>
      <c r="S174" s="146"/>
      <c r="T174" s="146"/>
      <c r="U174" s="146"/>
      <c r="V174" s="146"/>
      <c r="W174" s="146"/>
      <c r="X174" s="146"/>
      <c r="Y174" s="146"/>
      <c r="Z174" s="146"/>
      <c r="AA174" s="146"/>
      <c r="AB174" s="146"/>
      <c r="AC174" s="146"/>
      <c r="AD174" s="146"/>
      <c r="AE174" s="146"/>
      <c r="AF174" s="146"/>
      <c r="AG174" s="146"/>
      <c r="AH174" s="146"/>
      <c r="AI174" s="146"/>
      <c r="AJ174" s="146"/>
      <c r="AK174" s="146"/>
      <c r="AL174" s="146"/>
      <c r="AM174" s="146"/>
      <c r="AN174" s="146"/>
      <c r="AO174" s="146"/>
      <c r="AP174" s="146"/>
      <c r="AQ174" s="146"/>
      <c r="AR174" s="146"/>
      <c r="AS174" s="146"/>
      <c r="AT174" s="146"/>
      <c r="AU174" s="146"/>
      <c r="AV174" s="146"/>
      <c r="AW174" s="146"/>
      <c r="AX174" s="146"/>
      <c r="AY174" s="146"/>
    </row>
    <row r="175" spans="3:51" ht="13.5" customHeight="1">
      <c r="C175" s="377"/>
      <c r="D175" s="377"/>
      <c r="E175" s="146"/>
      <c r="F175" s="146"/>
      <c r="G175" s="146"/>
      <c r="H175" s="146"/>
      <c r="I175" s="146"/>
      <c r="J175" s="146"/>
      <c r="K175" s="146"/>
      <c r="L175" s="146"/>
      <c r="M175" s="146"/>
      <c r="N175" s="146"/>
      <c r="O175" s="146"/>
      <c r="P175" s="146"/>
      <c r="Q175" s="146"/>
      <c r="R175" s="146"/>
      <c r="S175" s="146"/>
      <c r="T175" s="146"/>
      <c r="U175" s="146"/>
      <c r="V175" s="146"/>
      <c r="W175" s="146"/>
      <c r="X175" s="146"/>
      <c r="Y175" s="146"/>
      <c r="Z175" s="146"/>
      <c r="AA175" s="146"/>
      <c r="AB175" s="146"/>
      <c r="AC175" s="146"/>
      <c r="AD175" s="146"/>
      <c r="AE175" s="146"/>
      <c r="AF175" s="146"/>
      <c r="AG175" s="146"/>
      <c r="AH175" s="146"/>
      <c r="AI175" s="146"/>
      <c r="AJ175" s="146"/>
      <c r="AK175" s="146"/>
      <c r="AL175" s="146"/>
      <c r="AM175" s="146"/>
      <c r="AN175" s="146"/>
      <c r="AO175" s="146"/>
      <c r="AP175" s="146"/>
      <c r="AQ175" s="146"/>
      <c r="AR175" s="146"/>
      <c r="AS175" s="146"/>
      <c r="AT175" s="146"/>
      <c r="AU175" s="146"/>
      <c r="AV175" s="146"/>
      <c r="AW175" s="146"/>
      <c r="AX175" s="146"/>
      <c r="AY175" s="146"/>
    </row>
    <row r="176" spans="3:51" ht="13.5" customHeight="1">
      <c r="C176" s="377"/>
      <c r="D176" s="377"/>
      <c r="E176" s="146"/>
      <c r="F176" s="146"/>
      <c r="G176" s="146"/>
      <c r="H176" s="146"/>
      <c r="I176" s="146"/>
      <c r="J176" s="146"/>
      <c r="K176" s="146"/>
      <c r="L176" s="146"/>
      <c r="M176" s="146"/>
      <c r="N176" s="146"/>
      <c r="O176" s="146"/>
      <c r="P176" s="146"/>
      <c r="Q176" s="146"/>
      <c r="R176" s="146"/>
      <c r="S176" s="146"/>
      <c r="T176" s="146"/>
      <c r="U176" s="146"/>
      <c r="V176" s="146"/>
      <c r="W176" s="146"/>
      <c r="X176" s="146"/>
      <c r="Y176" s="146"/>
      <c r="Z176" s="146"/>
      <c r="AA176" s="146"/>
      <c r="AB176" s="146"/>
      <c r="AC176" s="146"/>
      <c r="AD176" s="146"/>
      <c r="AE176" s="146"/>
      <c r="AF176" s="146"/>
      <c r="AG176" s="146"/>
      <c r="AH176" s="146"/>
      <c r="AI176" s="146"/>
      <c r="AJ176" s="146"/>
      <c r="AK176" s="146"/>
      <c r="AL176" s="146"/>
      <c r="AM176" s="146"/>
      <c r="AN176" s="146"/>
      <c r="AO176" s="146"/>
      <c r="AP176" s="146"/>
      <c r="AQ176" s="146"/>
      <c r="AR176" s="146"/>
      <c r="AS176" s="146"/>
      <c r="AT176" s="146"/>
      <c r="AU176" s="146"/>
      <c r="AV176" s="146"/>
      <c r="AW176" s="146"/>
      <c r="AX176" s="146"/>
      <c r="AY176" s="146"/>
    </row>
    <row r="177" spans="3:51" ht="13.5" customHeight="1">
      <c r="C177" s="377"/>
      <c r="D177" s="377"/>
      <c r="E177" s="146"/>
      <c r="F177" s="146"/>
      <c r="G177" s="146"/>
      <c r="H177" s="146"/>
      <c r="I177" s="146"/>
      <c r="J177" s="146"/>
      <c r="K177" s="146"/>
      <c r="L177" s="146"/>
      <c r="M177" s="146"/>
      <c r="N177" s="146"/>
      <c r="O177" s="146"/>
      <c r="P177" s="146"/>
      <c r="Q177" s="146"/>
      <c r="R177" s="146"/>
      <c r="S177" s="146"/>
      <c r="T177" s="146"/>
      <c r="U177" s="146"/>
      <c r="V177" s="146"/>
      <c r="W177" s="146"/>
      <c r="X177" s="146"/>
      <c r="Y177" s="146"/>
      <c r="Z177" s="146"/>
      <c r="AA177" s="146"/>
      <c r="AB177" s="146"/>
      <c r="AC177" s="146"/>
      <c r="AD177" s="146"/>
      <c r="AE177" s="146"/>
      <c r="AF177" s="146"/>
      <c r="AG177" s="146"/>
      <c r="AH177" s="146"/>
      <c r="AI177" s="146"/>
      <c r="AJ177" s="146"/>
      <c r="AK177" s="146"/>
      <c r="AL177" s="146"/>
      <c r="AM177" s="146"/>
      <c r="AN177" s="146"/>
      <c r="AO177" s="146"/>
      <c r="AP177" s="146"/>
      <c r="AQ177" s="146"/>
      <c r="AR177" s="146"/>
      <c r="AS177" s="146"/>
      <c r="AT177" s="146"/>
      <c r="AU177" s="146"/>
      <c r="AV177" s="146"/>
      <c r="AW177" s="146"/>
      <c r="AX177" s="146"/>
      <c r="AY177" s="146"/>
    </row>
    <row r="178" spans="3:51" ht="13.5" customHeight="1">
      <c r="C178" s="377"/>
      <c r="D178" s="377"/>
      <c r="E178" s="146"/>
      <c r="F178" s="146"/>
      <c r="G178" s="146"/>
      <c r="H178" s="146"/>
      <c r="I178" s="146"/>
      <c r="J178" s="146"/>
      <c r="K178" s="146"/>
      <c r="L178" s="146"/>
      <c r="M178" s="146"/>
      <c r="N178" s="146"/>
      <c r="O178" s="146"/>
      <c r="P178" s="146"/>
      <c r="Q178" s="146"/>
      <c r="R178" s="146"/>
      <c r="S178" s="146"/>
      <c r="T178" s="146"/>
      <c r="U178" s="146"/>
      <c r="V178" s="146"/>
      <c r="W178" s="146"/>
      <c r="X178" s="146"/>
      <c r="Y178" s="146"/>
      <c r="Z178" s="146"/>
      <c r="AA178" s="146"/>
      <c r="AB178" s="146"/>
      <c r="AC178" s="146"/>
      <c r="AD178" s="146"/>
      <c r="AE178" s="146"/>
      <c r="AF178" s="146"/>
      <c r="AG178" s="146"/>
      <c r="AH178" s="146"/>
      <c r="AI178" s="146"/>
      <c r="AJ178" s="146"/>
      <c r="AK178" s="146"/>
      <c r="AL178" s="146"/>
      <c r="AM178" s="146"/>
      <c r="AN178" s="146"/>
      <c r="AO178" s="146"/>
      <c r="AP178" s="146"/>
      <c r="AQ178" s="146"/>
      <c r="AR178" s="146"/>
      <c r="AS178" s="146"/>
      <c r="AT178" s="146"/>
      <c r="AU178" s="146"/>
      <c r="AV178" s="146"/>
      <c r="AW178" s="146"/>
      <c r="AX178" s="146"/>
      <c r="AY178" s="146"/>
    </row>
    <row r="179" spans="3:51" ht="13.5" customHeight="1">
      <c r="C179" s="377"/>
      <c r="D179" s="377"/>
      <c r="E179" s="146"/>
      <c r="F179" s="146"/>
      <c r="G179" s="146"/>
      <c r="H179" s="146"/>
      <c r="I179" s="146"/>
      <c r="J179" s="146"/>
      <c r="K179" s="146"/>
      <c r="L179" s="146"/>
      <c r="M179" s="146"/>
      <c r="N179" s="146"/>
      <c r="O179" s="146"/>
      <c r="P179" s="146"/>
      <c r="Q179" s="146"/>
      <c r="R179" s="146"/>
      <c r="S179" s="146"/>
      <c r="T179" s="146"/>
      <c r="U179" s="146"/>
      <c r="V179" s="146"/>
      <c r="W179" s="146"/>
      <c r="X179" s="146"/>
      <c r="Y179" s="146"/>
      <c r="Z179" s="146"/>
      <c r="AA179" s="146"/>
      <c r="AB179" s="146"/>
      <c r="AC179" s="146"/>
      <c r="AD179" s="146"/>
      <c r="AE179" s="146"/>
      <c r="AF179" s="146"/>
      <c r="AG179" s="146"/>
      <c r="AH179" s="146"/>
      <c r="AI179" s="146"/>
      <c r="AJ179" s="146"/>
      <c r="AK179" s="146"/>
      <c r="AL179" s="146"/>
      <c r="AM179" s="146"/>
      <c r="AN179" s="146"/>
      <c r="AO179" s="146"/>
      <c r="AP179" s="146"/>
      <c r="AQ179" s="146"/>
      <c r="AR179" s="146"/>
      <c r="AS179" s="146"/>
      <c r="AT179" s="146"/>
      <c r="AU179" s="146"/>
      <c r="AV179" s="146"/>
      <c r="AW179" s="146"/>
      <c r="AX179" s="146"/>
      <c r="AY179" s="146"/>
    </row>
    <row r="180" spans="3:51" ht="13.5" customHeight="1">
      <c r="C180" s="377"/>
      <c r="D180" s="377"/>
      <c r="E180" s="146"/>
      <c r="F180" s="146"/>
      <c r="G180" s="146"/>
      <c r="H180" s="146"/>
      <c r="I180" s="146"/>
      <c r="J180" s="146"/>
      <c r="K180" s="146"/>
      <c r="L180" s="146"/>
      <c r="M180" s="146"/>
      <c r="N180" s="146"/>
      <c r="O180" s="146"/>
      <c r="P180" s="146"/>
      <c r="Q180" s="146"/>
      <c r="R180" s="146"/>
      <c r="S180" s="146"/>
      <c r="T180" s="146"/>
      <c r="U180" s="146"/>
      <c r="V180" s="146"/>
      <c r="W180" s="146"/>
      <c r="X180" s="146"/>
      <c r="Y180" s="146"/>
      <c r="Z180" s="146"/>
      <c r="AA180" s="146"/>
      <c r="AB180" s="146"/>
      <c r="AC180" s="146"/>
      <c r="AD180" s="146"/>
      <c r="AE180" s="146"/>
      <c r="AF180" s="146"/>
      <c r="AG180" s="146"/>
      <c r="AH180" s="146"/>
      <c r="AI180" s="146"/>
      <c r="AJ180" s="146"/>
      <c r="AK180" s="146"/>
      <c r="AL180" s="146"/>
      <c r="AM180" s="146"/>
      <c r="AN180" s="146"/>
      <c r="AO180" s="146"/>
      <c r="AP180" s="146"/>
      <c r="AQ180" s="146"/>
      <c r="AR180" s="146"/>
      <c r="AS180" s="146"/>
      <c r="AT180" s="146"/>
      <c r="AU180" s="146"/>
      <c r="AV180" s="146"/>
      <c r="AW180" s="146"/>
      <c r="AX180" s="146"/>
      <c r="AY180" s="146"/>
    </row>
    <row r="181" spans="3:51" ht="13.5" customHeight="1">
      <c r="C181" s="377"/>
      <c r="D181" s="377"/>
      <c r="E181" s="146"/>
      <c r="F181" s="146"/>
      <c r="G181" s="146"/>
      <c r="H181" s="146"/>
      <c r="I181" s="146"/>
      <c r="J181" s="146"/>
      <c r="K181" s="146"/>
      <c r="L181" s="146"/>
      <c r="M181" s="146"/>
      <c r="N181" s="146"/>
      <c r="O181" s="146"/>
      <c r="P181" s="146"/>
      <c r="Q181" s="146"/>
      <c r="R181" s="146"/>
      <c r="S181" s="146"/>
      <c r="T181" s="146"/>
      <c r="U181" s="146"/>
      <c r="V181" s="146"/>
      <c r="W181" s="146"/>
      <c r="X181" s="146"/>
      <c r="Y181" s="146"/>
      <c r="Z181" s="146"/>
      <c r="AA181" s="146"/>
      <c r="AB181" s="146"/>
      <c r="AC181" s="146"/>
      <c r="AD181" s="146"/>
      <c r="AE181" s="146"/>
      <c r="AF181" s="146"/>
      <c r="AG181" s="146"/>
      <c r="AH181" s="146"/>
      <c r="AI181" s="146"/>
      <c r="AJ181" s="146"/>
      <c r="AK181" s="146"/>
      <c r="AL181" s="146"/>
      <c r="AM181" s="146"/>
      <c r="AN181" s="146"/>
      <c r="AO181" s="146"/>
      <c r="AP181" s="146"/>
      <c r="AQ181" s="146"/>
      <c r="AR181" s="146"/>
      <c r="AS181" s="146"/>
      <c r="AT181" s="146"/>
      <c r="AU181" s="146"/>
      <c r="AV181" s="146"/>
      <c r="AW181" s="146"/>
      <c r="AX181" s="146"/>
      <c r="AY181" s="146"/>
    </row>
    <row r="182" spans="3:51" ht="13.5" customHeight="1">
      <c r="C182" s="377"/>
      <c r="D182" s="377"/>
      <c r="E182" s="146"/>
      <c r="F182" s="146"/>
      <c r="G182" s="146"/>
      <c r="H182" s="146"/>
      <c r="I182" s="146"/>
      <c r="J182" s="146"/>
      <c r="K182" s="146"/>
      <c r="L182" s="146"/>
      <c r="M182" s="146"/>
      <c r="N182" s="146"/>
      <c r="O182" s="146"/>
      <c r="P182" s="146"/>
      <c r="Q182" s="146"/>
      <c r="R182" s="146"/>
      <c r="S182" s="146"/>
      <c r="T182" s="146"/>
      <c r="U182" s="146"/>
      <c r="V182" s="146"/>
      <c r="W182" s="146"/>
      <c r="X182" s="146"/>
      <c r="Y182" s="146"/>
      <c r="Z182" s="146"/>
      <c r="AA182" s="146"/>
      <c r="AB182" s="146"/>
      <c r="AC182" s="146"/>
      <c r="AD182" s="146"/>
      <c r="AE182" s="146"/>
      <c r="AF182" s="146"/>
      <c r="AG182" s="146"/>
      <c r="AH182" s="146"/>
      <c r="AI182" s="146"/>
      <c r="AJ182" s="146"/>
      <c r="AK182" s="146"/>
      <c r="AL182" s="146"/>
      <c r="AM182" s="146"/>
      <c r="AN182" s="146"/>
      <c r="AO182" s="146"/>
      <c r="AP182" s="146"/>
      <c r="AQ182" s="146"/>
      <c r="AR182" s="146"/>
      <c r="AS182" s="146"/>
      <c r="AT182" s="146"/>
      <c r="AU182" s="146"/>
      <c r="AV182" s="146"/>
      <c r="AW182" s="146"/>
      <c r="AX182" s="146"/>
      <c r="AY182" s="146"/>
    </row>
    <row r="183" spans="3:51" ht="13.5" customHeight="1">
      <c r="C183" s="377"/>
      <c r="D183" s="377"/>
      <c r="E183" s="146"/>
      <c r="F183" s="146"/>
      <c r="G183" s="146"/>
      <c r="H183" s="146"/>
      <c r="I183" s="146"/>
      <c r="J183" s="146"/>
      <c r="K183" s="146"/>
      <c r="L183" s="146"/>
      <c r="M183" s="146"/>
      <c r="N183" s="146"/>
      <c r="O183" s="146"/>
      <c r="P183" s="146"/>
      <c r="Q183" s="146"/>
      <c r="R183" s="146"/>
      <c r="S183" s="146"/>
      <c r="T183" s="146"/>
      <c r="U183" s="146"/>
      <c r="V183" s="146"/>
      <c r="W183" s="146"/>
      <c r="X183" s="146"/>
      <c r="Y183" s="146"/>
      <c r="Z183" s="146"/>
      <c r="AA183" s="146"/>
      <c r="AB183" s="146"/>
      <c r="AC183" s="146"/>
      <c r="AD183" s="146"/>
      <c r="AE183" s="146"/>
      <c r="AF183" s="146"/>
      <c r="AG183" s="146"/>
      <c r="AH183" s="146"/>
      <c r="AI183" s="146"/>
      <c r="AJ183" s="146"/>
      <c r="AK183" s="146"/>
      <c r="AL183" s="146"/>
      <c r="AM183" s="146"/>
      <c r="AN183" s="146"/>
      <c r="AO183" s="146"/>
      <c r="AP183" s="146"/>
      <c r="AQ183" s="146"/>
      <c r="AR183" s="146"/>
      <c r="AS183" s="146"/>
      <c r="AT183" s="146"/>
      <c r="AU183" s="146"/>
      <c r="AV183" s="146"/>
      <c r="AW183" s="146"/>
      <c r="AX183" s="146"/>
      <c r="AY183" s="146"/>
    </row>
    <row r="184" spans="3:51" ht="13.5" customHeight="1">
      <c r="C184" s="377"/>
      <c r="D184" s="377"/>
      <c r="E184" s="146"/>
      <c r="F184" s="146"/>
      <c r="G184" s="146"/>
      <c r="H184" s="146"/>
      <c r="I184" s="146"/>
      <c r="J184" s="146"/>
      <c r="K184" s="146"/>
      <c r="L184" s="146"/>
      <c r="M184" s="146"/>
      <c r="N184" s="146"/>
      <c r="O184" s="146"/>
      <c r="P184" s="146"/>
      <c r="Q184" s="146"/>
      <c r="R184" s="146"/>
      <c r="S184" s="146"/>
      <c r="T184" s="146"/>
      <c r="U184" s="146"/>
      <c r="V184" s="146"/>
      <c r="W184" s="146"/>
      <c r="X184" s="146"/>
      <c r="Y184" s="146"/>
      <c r="Z184" s="146"/>
      <c r="AA184" s="146"/>
      <c r="AB184" s="146"/>
      <c r="AC184" s="146"/>
      <c r="AD184" s="146"/>
      <c r="AE184" s="146"/>
      <c r="AF184" s="146"/>
      <c r="AG184" s="146"/>
      <c r="AH184" s="146"/>
      <c r="AI184" s="146"/>
      <c r="AJ184" s="146"/>
      <c r="AK184" s="146"/>
      <c r="AL184" s="146"/>
      <c r="AM184" s="146"/>
      <c r="AN184" s="146"/>
      <c r="AO184" s="146"/>
      <c r="AP184" s="146"/>
      <c r="AQ184" s="146"/>
      <c r="AR184" s="146"/>
      <c r="AS184" s="146"/>
      <c r="AT184" s="146"/>
      <c r="AU184" s="146"/>
      <c r="AV184" s="146"/>
      <c r="AW184" s="146"/>
      <c r="AX184" s="146"/>
      <c r="AY184" s="146"/>
    </row>
    <row r="185" spans="3:51" ht="13.5" customHeight="1">
      <c r="C185" s="377"/>
      <c r="D185" s="377"/>
      <c r="E185" s="146"/>
      <c r="F185" s="146"/>
      <c r="G185" s="146"/>
      <c r="H185" s="146"/>
      <c r="I185" s="146"/>
      <c r="J185" s="146"/>
      <c r="K185" s="146"/>
      <c r="L185" s="146"/>
      <c r="M185" s="146"/>
      <c r="N185" s="146"/>
      <c r="O185" s="146"/>
      <c r="P185" s="146"/>
      <c r="Q185" s="146"/>
      <c r="R185" s="146"/>
      <c r="S185" s="146"/>
      <c r="T185" s="146"/>
      <c r="U185" s="146"/>
      <c r="V185" s="146"/>
      <c r="W185" s="146"/>
      <c r="X185" s="146"/>
      <c r="Y185" s="146"/>
      <c r="Z185" s="146"/>
      <c r="AA185" s="146"/>
      <c r="AB185" s="146"/>
      <c r="AC185" s="146"/>
      <c r="AD185" s="146"/>
      <c r="AE185" s="146"/>
      <c r="AF185" s="146"/>
      <c r="AG185" s="146"/>
      <c r="AH185" s="146"/>
      <c r="AI185" s="146"/>
      <c r="AJ185" s="146"/>
      <c r="AK185" s="146"/>
      <c r="AL185" s="146"/>
      <c r="AM185" s="146"/>
      <c r="AN185" s="146"/>
      <c r="AO185" s="146"/>
      <c r="AP185" s="146"/>
      <c r="AQ185" s="146"/>
      <c r="AR185" s="146"/>
      <c r="AS185" s="146"/>
      <c r="AT185" s="146"/>
      <c r="AU185" s="146"/>
      <c r="AV185" s="146"/>
      <c r="AW185" s="146"/>
      <c r="AX185" s="146"/>
      <c r="AY185" s="146"/>
    </row>
    <row r="186" spans="3:51" ht="13.5" customHeight="1">
      <c r="C186" s="377"/>
      <c r="D186" s="377"/>
      <c r="E186" s="146"/>
      <c r="F186" s="146"/>
      <c r="G186" s="146"/>
      <c r="H186" s="146"/>
      <c r="I186" s="146"/>
      <c r="J186" s="146"/>
      <c r="K186" s="146"/>
      <c r="L186" s="146"/>
      <c r="M186" s="146"/>
      <c r="N186" s="146"/>
      <c r="O186" s="146"/>
      <c r="P186" s="146"/>
      <c r="Q186" s="146"/>
      <c r="R186" s="146"/>
      <c r="S186" s="146"/>
      <c r="T186" s="146"/>
      <c r="U186" s="146"/>
      <c r="V186" s="146"/>
      <c r="W186" s="146"/>
      <c r="X186" s="146"/>
      <c r="Y186" s="146"/>
      <c r="Z186" s="146"/>
      <c r="AA186" s="146"/>
      <c r="AB186" s="146"/>
      <c r="AC186" s="146"/>
      <c r="AD186" s="146"/>
      <c r="AE186" s="146"/>
      <c r="AF186" s="146"/>
      <c r="AG186" s="146"/>
      <c r="AH186" s="146"/>
      <c r="AI186" s="146"/>
      <c r="AJ186" s="146"/>
      <c r="AK186" s="146"/>
      <c r="AL186" s="146"/>
      <c r="AM186" s="146"/>
      <c r="AN186" s="146"/>
      <c r="AO186" s="146"/>
      <c r="AP186" s="146"/>
      <c r="AQ186" s="146"/>
      <c r="AR186" s="146"/>
      <c r="AS186" s="146"/>
      <c r="AT186" s="146"/>
      <c r="AU186" s="146"/>
      <c r="AV186" s="146"/>
      <c r="AW186" s="146"/>
      <c r="AX186" s="146"/>
      <c r="AY186" s="146"/>
    </row>
    <row r="187" spans="3:51" ht="13.5" customHeight="1">
      <c r="C187" s="377"/>
      <c r="D187" s="377"/>
      <c r="E187" s="146"/>
      <c r="F187" s="146"/>
      <c r="G187" s="146"/>
      <c r="H187" s="146"/>
      <c r="I187" s="146"/>
      <c r="J187" s="146"/>
      <c r="K187" s="146"/>
      <c r="L187" s="146"/>
      <c r="M187" s="146"/>
      <c r="N187" s="146"/>
      <c r="O187" s="146"/>
      <c r="P187" s="146"/>
      <c r="Q187" s="146"/>
      <c r="R187" s="146"/>
      <c r="S187" s="146"/>
      <c r="T187" s="146"/>
      <c r="U187" s="146"/>
      <c r="V187" s="146"/>
      <c r="W187" s="146"/>
      <c r="X187" s="146"/>
      <c r="Y187" s="146"/>
      <c r="Z187" s="146"/>
      <c r="AA187" s="146"/>
      <c r="AB187" s="146"/>
      <c r="AC187" s="146"/>
      <c r="AD187" s="146"/>
      <c r="AE187" s="146"/>
      <c r="AF187" s="146"/>
      <c r="AG187" s="146"/>
      <c r="AH187" s="146"/>
      <c r="AI187" s="146"/>
      <c r="AJ187" s="146"/>
      <c r="AK187" s="146"/>
      <c r="AL187" s="146"/>
      <c r="AM187" s="146"/>
      <c r="AN187" s="146"/>
      <c r="AO187" s="146"/>
      <c r="AP187" s="146"/>
      <c r="AQ187" s="146"/>
      <c r="AR187" s="146"/>
      <c r="AS187" s="146"/>
      <c r="AT187" s="146"/>
      <c r="AU187" s="146"/>
      <c r="AV187" s="146"/>
      <c r="AW187" s="146"/>
      <c r="AX187" s="146"/>
      <c r="AY187" s="146"/>
    </row>
    <row r="188" spans="3:51" ht="13.5" customHeight="1">
      <c r="C188" s="377"/>
      <c r="D188" s="377"/>
      <c r="E188" s="146"/>
      <c r="F188" s="146"/>
      <c r="G188" s="146"/>
      <c r="H188" s="146"/>
      <c r="I188" s="146"/>
      <c r="J188" s="146"/>
      <c r="K188" s="146"/>
      <c r="L188" s="146"/>
      <c r="M188" s="146"/>
      <c r="N188" s="146"/>
      <c r="O188" s="146"/>
      <c r="P188" s="146"/>
      <c r="Q188" s="146"/>
      <c r="R188" s="146"/>
      <c r="S188" s="146"/>
      <c r="T188" s="146"/>
      <c r="U188" s="146"/>
      <c r="V188" s="146"/>
      <c r="W188" s="146"/>
      <c r="X188" s="146"/>
      <c r="Y188" s="146"/>
      <c r="Z188" s="146"/>
      <c r="AA188" s="146"/>
      <c r="AB188" s="146"/>
      <c r="AC188" s="146"/>
      <c r="AD188" s="146"/>
      <c r="AE188" s="146"/>
      <c r="AF188" s="146"/>
      <c r="AG188" s="146"/>
      <c r="AH188" s="146"/>
      <c r="AI188" s="146"/>
      <c r="AJ188" s="146"/>
      <c r="AK188" s="146"/>
      <c r="AL188" s="146"/>
      <c r="AM188" s="146"/>
      <c r="AN188" s="146"/>
      <c r="AO188" s="146"/>
      <c r="AP188" s="146"/>
      <c r="AQ188" s="146"/>
      <c r="AR188" s="146"/>
      <c r="AS188" s="146"/>
      <c r="AT188" s="146"/>
      <c r="AU188" s="146"/>
      <c r="AV188" s="146"/>
      <c r="AW188" s="146"/>
      <c r="AX188" s="146"/>
      <c r="AY188" s="146"/>
    </row>
    <row r="189" spans="3:51" ht="13.5" customHeight="1">
      <c r="C189" s="377"/>
      <c r="D189" s="377"/>
      <c r="E189" s="146"/>
      <c r="F189" s="146"/>
      <c r="G189" s="146"/>
      <c r="H189" s="146"/>
      <c r="I189" s="146"/>
      <c r="J189" s="146"/>
      <c r="K189" s="146"/>
      <c r="L189" s="146"/>
      <c r="M189" s="146"/>
      <c r="N189" s="146"/>
      <c r="O189" s="146"/>
      <c r="P189" s="146"/>
      <c r="Q189" s="146"/>
      <c r="R189" s="146"/>
      <c r="S189" s="146"/>
      <c r="T189" s="146"/>
      <c r="U189" s="146"/>
      <c r="V189" s="146"/>
      <c r="W189" s="146"/>
      <c r="X189" s="146"/>
      <c r="Y189" s="146"/>
      <c r="Z189" s="146"/>
      <c r="AA189" s="146"/>
      <c r="AB189" s="146"/>
      <c r="AC189" s="146"/>
      <c r="AD189" s="146"/>
      <c r="AE189" s="146"/>
      <c r="AF189" s="146"/>
      <c r="AG189" s="146"/>
      <c r="AH189" s="146"/>
      <c r="AI189" s="146"/>
      <c r="AJ189" s="146"/>
      <c r="AK189" s="146"/>
      <c r="AL189" s="146"/>
      <c r="AM189" s="146"/>
      <c r="AN189" s="146"/>
      <c r="AO189" s="146"/>
      <c r="AP189" s="146"/>
      <c r="AQ189" s="146"/>
      <c r="AR189" s="146"/>
      <c r="AS189" s="146"/>
      <c r="AT189" s="146"/>
      <c r="AU189" s="146"/>
      <c r="AV189" s="146"/>
      <c r="AW189" s="146"/>
      <c r="AX189" s="146"/>
      <c r="AY189" s="146"/>
    </row>
    <row r="190" spans="3:51" ht="13.5" customHeight="1">
      <c r="C190" s="377"/>
      <c r="D190" s="377"/>
      <c r="E190" s="146"/>
      <c r="F190" s="146"/>
      <c r="G190" s="146"/>
      <c r="H190" s="146"/>
      <c r="I190" s="146"/>
      <c r="J190" s="146"/>
      <c r="K190" s="146"/>
      <c r="L190" s="146"/>
      <c r="M190" s="146"/>
      <c r="N190" s="146"/>
      <c r="O190" s="146"/>
      <c r="P190" s="146"/>
      <c r="Q190" s="146"/>
      <c r="R190" s="146"/>
      <c r="S190" s="146"/>
      <c r="T190" s="146"/>
      <c r="U190" s="146"/>
      <c r="V190" s="146"/>
      <c r="W190" s="146"/>
      <c r="X190" s="146"/>
      <c r="Y190" s="146"/>
      <c r="Z190" s="146"/>
      <c r="AA190" s="146"/>
      <c r="AB190" s="146"/>
      <c r="AC190" s="146"/>
      <c r="AD190" s="146"/>
      <c r="AE190" s="146"/>
      <c r="AF190" s="146"/>
      <c r="AG190" s="146"/>
      <c r="AH190" s="146"/>
      <c r="AI190" s="146"/>
      <c r="AJ190" s="146"/>
      <c r="AK190" s="146"/>
      <c r="AL190" s="146"/>
      <c r="AM190" s="146"/>
      <c r="AN190" s="146"/>
      <c r="AO190" s="146"/>
      <c r="AP190" s="146"/>
      <c r="AQ190" s="146"/>
      <c r="AR190" s="146"/>
      <c r="AS190" s="146"/>
      <c r="AT190" s="146"/>
      <c r="AU190" s="146"/>
      <c r="AV190" s="146"/>
      <c r="AW190" s="146"/>
      <c r="AX190" s="146"/>
      <c r="AY190" s="146"/>
    </row>
    <row r="191" spans="3:51" ht="13.5" customHeight="1">
      <c r="C191" s="377"/>
      <c r="D191" s="377"/>
      <c r="E191" s="146"/>
      <c r="F191" s="146"/>
      <c r="G191" s="146"/>
      <c r="H191" s="146"/>
      <c r="I191" s="146"/>
      <c r="J191" s="146"/>
      <c r="K191" s="146"/>
      <c r="L191" s="146"/>
      <c r="M191" s="146"/>
      <c r="N191" s="146"/>
      <c r="O191" s="146"/>
      <c r="P191" s="146"/>
      <c r="Q191" s="146"/>
      <c r="R191" s="146"/>
      <c r="S191" s="146"/>
      <c r="T191" s="146"/>
      <c r="U191" s="146"/>
      <c r="V191" s="146"/>
      <c r="W191" s="146"/>
      <c r="X191" s="146"/>
      <c r="Y191" s="146"/>
      <c r="Z191" s="146"/>
      <c r="AA191" s="146"/>
      <c r="AB191" s="146"/>
      <c r="AC191" s="146"/>
      <c r="AD191" s="146"/>
      <c r="AE191" s="146"/>
      <c r="AF191" s="146"/>
      <c r="AG191" s="146"/>
      <c r="AH191" s="146"/>
      <c r="AI191" s="146"/>
      <c r="AJ191" s="146"/>
      <c r="AK191" s="146"/>
      <c r="AL191" s="146"/>
      <c r="AM191" s="146"/>
      <c r="AN191" s="146"/>
      <c r="AO191" s="146"/>
      <c r="AP191" s="146"/>
      <c r="AQ191" s="146"/>
      <c r="AR191" s="146"/>
      <c r="AS191" s="146"/>
      <c r="AT191" s="146"/>
      <c r="AU191" s="146"/>
      <c r="AV191" s="146"/>
      <c r="AW191" s="146"/>
      <c r="AX191" s="146"/>
      <c r="AY191" s="146"/>
    </row>
    <row r="192" spans="3:51" ht="13.5" customHeight="1">
      <c r="C192" s="377"/>
      <c r="D192" s="377"/>
      <c r="E192" s="146"/>
      <c r="F192" s="146"/>
      <c r="G192" s="146"/>
      <c r="H192" s="146"/>
      <c r="I192" s="146"/>
      <c r="J192" s="146"/>
      <c r="K192" s="146"/>
      <c r="L192" s="146"/>
      <c r="M192" s="146"/>
      <c r="N192" s="146"/>
      <c r="O192" s="146"/>
      <c r="P192" s="146"/>
      <c r="Q192" s="146"/>
      <c r="R192" s="146"/>
      <c r="S192" s="146"/>
      <c r="T192" s="146"/>
      <c r="U192" s="146"/>
      <c r="V192" s="146"/>
      <c r="W192" s="146"/>
      <c r="X192" s="146"/>
      <c r="Y192" s="146"/>
      <c r="Z192" s="146"/>
      <c r="AA192" s="146"/>
      <c r="AB192" s="146"/>
      <c r="AC192" s="146"/>
      <c r="AD192" s="146"/>
      <c r="AE192" s="146"/>
      <c r="AF192" s="146"/>
      <c r="AG192" s="146"/>
      <c r="AH192" s="146"/>
      <c r="AI192" s="146"/>
      <c r="AJ192" s="146"/>
      <c r="AK192" s="146"/>
      <c r="AL192" s="146"/>
      <c r="AM192" s="146"/>
      <c r="AN192" s="146"/>
      <c r="AO192" s="146"/>
      <c r="AP192" s="146"/>
      <c r="AQ192" s="146"/>
      <c r="AR192" s="146"/>
      <c r="AS192" s="146"/>
      <c r="AT192" s="146"/>
      <c r="AU192" s="146"/>
      <c r="AV192" s="146"/>
      <c r="AW192" s="146"/>
      <c r="AX192" s="146"/>
      <c r="AY192" s="146"/>
    </row>
    <row r="193" spans="3:51" ht="13.5" customHeight="1">
      <c r="C193" s="377"/>
      <c r="D193" s="377"/>
      <c r="E193" s="146"/>
      <c r="F193" s="146"/>
      <c r="G193" s="146"/>
      <c r="H193" s="146"/>
      <c r="I193" s="146"/>
      <c r="J193" s="146"/>
      <c r="K193" s="146"/>
      <c r="L193" s="146"/>
      <c r="M193" s="146"/>
      <c r="N193" s="146"/>
      <c r="O193" s="146"/>
      <c r="P193" s="146"/>
      <c r="Q193" s="146"/>
      <c r="R193" s="146"/>
      <c r="S193" s="146"/>
      <c r="T193" s="146"/>
      <c r="U193" s="146"/>
      <c r="V193" s="146"/>
      <c r="W193" s="146"/>
      <c r="X193" s="146"/>
      <c r="Y193" s="146"/>
      <c r="Z193" s="146"/>
      <c r="AA193" s="146"/>
      <c r="AB193" s="146"/>
      <c r="AC193" s="146"/>
      <c r="AD193" s="146"/>
      <c r="AE193" s="146"/>
      <c r="AF193" s="146"/>
      <c r="AG193" s="146"/>
      <c r="AH193" s="146"/>
      <c r="AI193" s="146"/>
      <c r="AJ193" s="146"/>
      <c r="AK193" s="146"/>
      <c r="AL193" s="146"/>
      <c r="AM193" s="146"/>
      <c r="AN193" s="146"/>
      <c r="AO193" s="146"/>
      <c r="AP193" s="146"/>
      <c r="AQ193" s="146"/>
      <c r="AR193" s="146"/>
      <c r="AS193" s="146"/>
      <c r="AT193" s="146"/>
      <c r="AU193" s="146"/>
      <c r="AV193" s="146"/>
      <c r="AW193" s="146"/>
      <c r="AX193" s="146"/>
      <c r="AY193" s="146"/>
    </row>
    <row r="194" spans="3:51" ht="13.5" customHeight="1">
      <c r="C194" s="377"/>
      <c r="D194" s="377"/>
      <c r="E194" s="146"/>
      <c r="F194" s="146"/>
      <c r="G194" s="146"/>
      <c r="H194" s="146"/>
      <c r="I194" s="146"/>
      <c r="J194" s="146"/>
      <c r="K194" s="146"/>
      <c r="L194" s="146"/>
      <c r="M194" s="146"/>
      <c r="N194" s="146"/>
      <c r="O194" s="146"/>
      <c r="P194" s="146"/>
      <c r="Q194" s="146"/>
      <c r="R194" s="146"/>
      <c r="S194" s="146"/>
      <c r="T194" s="146"/>
      <c r="U194" s="146"/>
      <c r="V194" s="146"/>
      <c r="W194" s="146"/>
      <c r="X194" s="146"/>
      <c r="Y194" s="146"/>
      <c r="Z194" s="146"/>
      <c r="AA194" s="146"/>
      <c r="AB194" s="146"/>
      <c r="AC194" s="146"/>
      <c r="AD194" s="146"/>
      <c r="AE194" s="146"/>
      <c r="AF194" s="146"/>
      <c r="AG194" s="146"/>
      <c r="AH194" s="146"/>
      <c r="AI194" s="146"/>
      <c r="AJ194" s="146"/>
      <c r="AK194" s="146"/>
      <c r="AL194" s="146"/>
      <c r="AM194" s="146"/>
      <c r="AN194" s="146"/>
      <c r="AO194" s="146"/>
      <c r="AP194" s="146"/>
      <c r="AQ194" s="146"/>
      <c r="AR194" s="146"/>
      <c r="AS194" s="146"/>
      <c r="AT194" s="146"/>
      <c r="AU194" s="146"/>
      <c r="AV194" s="146"/>
      <c r="AW194" s="146"/>
      <c r="AX194" s="146"/>
      <c r="AY194" s="146"/>
    </row>
    <row r="195" spans="3:51" ht="13.5" customHeight="1">
      <c r="C195" s="377"/>
      <c r="D195" s="377"/>
      <c r="E195" s="146"/>
      <c r="F195" s="146"/>
      <c r="G195" s="146"/>
      <c r="H195" s="146"/>
      <c r="I195" s="146"/>
      <c r="J195" s="146"/>
      <c r="K195" s="146"/>
      <c r="L195" s="146"/>
      <c r="M195" s="146"/>
      <c r="N195" s="146"/>
      <c r="O195" s="146"/>
      <c r="P195" s="146"/>
      <c r="Q195" s="146"/>
      <c r="R195" s="146"/>
      <c r="S195" s="146"/>
      <c r="T195" s="146"/>
      <c r="U195" s="146"/>
      <c r="V195" s="146"/>
      <c r="W195" s="146"/>
      <c r="X195" s="146"/>
      <c r="Y195" s="146"/>
      <c r="Z195" s="146"/>
      <c r="AA195" s="146"/>
      <c r="AB195" s="146"/>
      <c r="AC195" s="146"/>
      <c r="AD195" s="146"/>
      <c r="AE195" s="146"/>
      <c r="AF195" s="146"/>
      <c r="AG195" s="146"/>
      <c r="AH195" s="146"/>
      <c r="AI195" s="146"/>
      <c r="AJ195" s="146"/>
      <c r="AK195" s="146"/>
      <c r="AL195" s="146"/>
      <c r="AM195" s="146"/>
      <c r="AN195" s="146"/>
      <c r="AO195" s="146"/>
      <c r="AP195" s="146"/>
      <c r="AQ195" s="146"/>
      <c r="AR195" s="146"/>
      <c r="AS195" s="146"/>
      <c r="AT195" s="146"/>
      <c r="AU195" s="146"/>
      <c r="AV195" s="146"/>
      <c r="AW195" s="146"/>
      <c r="AX195" s="146"/>
      <c r="AY195" s="146"/>
    </row>
    <row r="196" spans="3:51" ht="13.5" customHeight="1">
      <c r="C196" s="377"/>
      <c r="D196" s="377"/>
      <c r="E196" s="146"/>
      <c r="F196" s="146"/>
      <c r="G196" s="146"/>
      <c r="H196" s="146"/>
      <c r="I196" s="146"/>
      <c r="J196" s="146"/>
      <c r="K196" s="146"/>
      <c r="L196" s="146"/>
      <c r="M196" s="146"/>
      <c r="N196" s="146"/>
      <c r="O196" s="146"/>
      <c r="P196" s="146"/>
      <c r="Q196" s="146"/>
      <c r="R196" s="146"/>
      <c r="S196" s="146"/>
      <c r="T196" s="146"/>
      <c r="U196" s="146"/>
      <c r="V196" s="146"/>
      <c r="W196" s="146"/>
      <c r="X196" s="146"/>
      <c r="Y196" s="146"/>
      <c r="Z196" s="146"/>
      <c r="AA196" s="146"/>
      <c r="AB196" s="146"/>
      <c r="AC196" s="146"/>
      <c r="AD196" s="146"/>
      <c r="AE196" s="146"/>
      <c r="AF196" s="146"/>
      <c r="AG196" s="146"/>
      <c r="AH196" s="146"/>
      <c r="AI196" s="146"/>
      <c r="AJ196" s="146"/>
      <c r="AK196" s="146"/>
      <c r="AL196" s="146"/>
      <c r="AM196" s="146"/>
      <c r="AN196" s="146"/>
      <c r="AO196" s="146"/>
      <c r="AP196" s="146"/>
      <c r="AQ196" s="146"/>
      <c r="AR196" s="146"/>
      <c r="AS196" s="146"/>
      <c r="AT196" s="146"/>
      <c r="AU196" s="146"/>
      <c r="AV196" s="146"/>
      <c r="AW196" s="146"/>
      <c r="AX196" s="146"/>
      <c r="AY196" s="146"/>
    </row>
    <row r="197" spans="3:51" ht="13.5" customHeight="1">
      <c r="C197" s="377"/>
      <c r="D197" s="377"/>
      <c r="E197" s="146"/>
      <c r="F197" s="146"/>
      <c r="G197" s="146"/>
      <c r="H197" s="146"/>
      <c r="I197" s="146"/>
      <c r="J197" s="146"/>
      <c r="K197" s="146"/>
      <c r="L197" s="146"/>
      <c r="M197" s="146"/>
      <c r="N197" s="146"/>
      <c r="O197" s="146"/>
      <c r="P197" s="146"/>
      <c r="Q197" s="146"/>
      <c r="R197" s="146"/>
      <c r="S197" s="146"/>
      <c r="T197" s="146"/>
      <c r="U197" s="146"/>
      <c r="V197" s="146"/>
      <c r="W197" s="146"/>
      <c r="X197" s="146"/>
      <c r="Y197" s="146"/>
      <c r="Z197" s="146"/>
      <c r="AA197" s="146"/>
      <c r="AB197" s="146"/>
      <c r="AC197" s="146"/>
      <c r="AD197" s="146"/>
      <c r="AE197" s="146"/>
      <c r="AF197" s="146"/>
      <c r="AG197" s="146"/>
      <c r="AH197" s="146"/>
      <c r="AI197" s="146"/>
      <c r="AJ197" s="146"/>
      <c r="AK197" s="146"/>
      <c r="AL197" s="146"/>
      <c r="AM197" s="146"/>
      <c r="AN197" s="146"/>
      <c r="AO197" s="146"/>
      <c r="AP197" s="146"/>
      <c r="AQ197" s="146"/>
      <c r="AR197" s="146"/>
      <c r="AS197" s="146"/>
      <c r="AT197" s="146"/>
      <c r="AU197" s="146"/>
      <c r="AV197" s="146"/>
      <c r="AW197" s="146"/>
      <c r="AX197" s="146"/>
      <c r="AY197" s="146"/>
    </row>
    <row r="198" spans="3:51" ht="13.5" customHeight="1">
      <c r="C198" s="377"/>
      <c r="D198" s="377"/>
      <c r="E198" s="146"/>
      <c r="F198" s="146"/>
      <c r="G198" s="146"/>
      <c r="H198" s="146"/>
      <c r="I198" s="146"/>
      <c r="J198" s="146"/>
      <c r="K198" s="146"/>
      <c r="L198" s="146"/>
      <c r="M198" s="146"/>
      <c r="N198" s="146"/>
      <c r="O198" s="146"/>
      <c r="P198" s="146"/>
      <c r="Q198" s="146"/>
      <c r="R198" s="146"/>
      <c r="S198" s="146"/>
      <c r="T198" s="146"/>
      <c r="U198" s="146"/>
      <c r="V198" s="146"/>
      <c r="W198" s="146"/>
      <c r="X198" s="146"/>
      <c r="Y198" s="146"/>
      <c r="Z198" s="146"/>
      <c r="AA198" s="146"/>
      <c r="AB198" s="146"/>
      <c r="AC198" s="146"/>
      <c r="AD198" s="146"/>
      <c r="AE198" s="146"/>
      <c r="AF198" s="146"/>
      <c r="AG198" s="146"/>
      <c r="AH198" s="146"/>
      <c r="AI198" s="146"/>
      <c r="AJ198" s="146"/>
      <c r="AK198" s="146"/>
      <c r="AL198" s="146"/>
      <c r="AM198" s="146"/>
      <c r="AN198" s="146"/>
      <c r="AO198" s="146"/>
      <c r="AP198" s="146"/>
      <c r="AQ198" s="146"/>
      <c r="AR198" s="146"/>
      <c r="AS198" s="146"/>
      <c r="AT198" s="146"/>
      <c r="AU198" s="146"/>
      <c r="AV198" s="146"/>
      <c r="AW198" s="146"/>
      <c r="AX198" s="146"/>
      <c r="AY198" s="146"/>
    </row>
    <row r="199" spans="3:51" ht="13.5" customHeight="1">
      <c r="C199" s="377"/>
      <c r="D199" s="377"/>
      <c r="E199" s="146"/>
      <c r="F199" s="146"/>
      <c r="G199" s="146"/>
      <c r="H199" s="146"/>
      <c r="I199" s="146"/>
      <c r="J199" s="146"/>
      <c r="K199" s="146"/>
      <c r="L199" s="146"/>
      <c r="M199" s="146"/>
      <c r="N199" s="146"/>
      <c r="O199" s="146"/>
      <c r="P199" s="146"/>
      <c r="Q199" s="146"/>
      <c r="R199" s="146"/>
      <c r="S199" s="146"/>
      <c r="T199" s="146"/>
      <c r="U199" s="146"/>
      <c r="V199" s="146"/>
      <c r="W199" s="146"/>
      <c r="X199" s="146"/>
      <c r="Y199" s="146"/>
      <c r="Z199" s="146"/>
      <c r="AA199" s="146"/>
      <c r="AB199" s="146"/>
      <c r="AC199" s="146"/>
      <c r="AD199" s="146"/>
      <c r="AE199" s="146"/>
      <c r="AF199" s="146"/>
      <c r="AG199" s="146"/>
      <c r="AH199" s="146"/>
      <c r="AI199" s="146"/>
      <c r="AJ199" s="146"/>
      <c r="AK199" s="146"/>
      <c r="AL199" s="146"/>
      <c r="AM199" s="146"/>
      <c r="AN199" s="146"/>
      <c r="AO199" s="146"/>
      <c r="AP199" s="146"/>
      <c r="AQ199" s="146"/>
      <c r="AR199" s="146"/>
      <c r="AS199" s="146"/>
      <c r="AT199" s="146"/>
      <c r="AU199" s="146"/>
      <c r="AV199" s="146"/>
      <c r="AW199" s="146"/>
      <c r="AX199" s="146"/>
      <c r="AY199" s="146"/>
    </row>
    <row r="200" spans="3:51" ht="13.5" customHeight="1">
      <c r="C200" s="377"/>
      <c r="D200" s="377"/>
      <c r="E200" s="146"/>
      <c r="F200" s="146"/>
      <c r="G200" s="146"/>
      <c r="H200" s="146"/>
      <c r="I200" s="146"/>
      <c r="J200" s="146"/>
      <c r="K200" s="146"/>
      <c r="L200" s="146"/>
      <c r="M200" s="146"/>
      <c r="N200" s="146"/>
      <c r="O200" s="146"/>
      <c r="P200" s="146"/>
      <c r="Q200" s="146"/>
      <c r="R200" s="146"/>
      <c r="S200" s="146"/>
      <c r="T200" s="146"/>
      <c r="U200" s="146"/>
      <c r="V200" s="146"/>
      <c r="W200" s="146"/>
      <c r="X200" s="146"/>
      <c r="Y200" s="146"/>
      <c r="Z200" s="146"/>
      <c r="AA200" s="146"/>
      <c r="AB200" s="146"/>
      <c r="AC200" s="146"/>
      <c r="AD200" s="146"/>
      <c r="AE200" s="146"/>
      <c r="AF200" s="146"/>
      <c r="AG200" s="146"/>
      <c r="AH200" s="146"/>
      <c r="AI200" s="146"/>
      <c r="AJ200" s="146"/>
      <c r="AK200" s="146"/>
      <c r="AL200" s="146"/>
      <c r="AM200" s="146"/>
      <c r="AN200" s="146"/>
      <c r="AO200" s="146"/>
      <c r="AP200" s="146"/>
      <c r="AQ200" s="146"/>
      <c r="AR200" s="146"/>
      <c r="AS200" s="146"/>
      <c r="AT200" s="146"/>
      <c r="AU200" s="146"/>
      <c r="AV200" s="146"/>
      <c r="AW200" s="146"/>
      <c r="AX200" s="146"/>
      <c r="AY200" s="146"/>
    </row>
    <row r="201" spans="3:51" ht="13.5" customHeight="1">
      <c r="C201" s="377"/>
      <c r="D201" s="377"/>
      <c r="E201" s="146"/>
      <c r="F201" s="146"/>
      <c r="G201" s="146"/>
      <c r="H201" s="146"/>
      <c r="I201" s="146"/>
      <c r="J201" s="146"/>
      <c r="K201" s="146"/>
      <c r="L201" s="146"/>
      <c r="M201" s="146"/>
      <c r="N201" s="146"/>
      <c r="O201" s="146"/>
      <c r="P201" s="146"/>
      <c r="Q201" s="146"/>
      <c r="R201" s="146"/>
      <c r="S201" s="146"/>
      <c r="T201" s="146"/>
      <c r="U201" s="146"/>
      <c r="V201" s="146"/>
      <c r="W201" s="146"/>
      <c r="X201" s="146"/>
      <c r="Y201" s="146"/>
      <c r="Z201" s="146"/>
      <c r="AA201" s="146"/>
      <c r="AB201" s="146"/>
      <c r="AC201" s="146"/>
      <c r="AD201" s="146"/>
      <c r="AE201" s="146"/>
      <c r="AF201" s="146"/>
      <c r="AG201" s="146"/>
      <c r="AH201" s="146"/>
      <c r="AI201" s="146"/>
      <c r="AJ201" s="146"/>
      <c r="AK201" s="146"/>
      <c r="AL201" s="146"/>
      <c r="AM201" s="146"/>
      <c r="AN201" s="146"/>
      <c r="AO201" s="146"/>
      <c r="AP201" s="146"/>
      <c r="AQ201" s="146"/>
      <c r="AR201" s="146"/>
      <c r="AS201" s="146"/>
      <c r="AT201" s="146"/>
      <c r="AU201" s="146"/>
      <c r="AV201" s="146"/>
      <c r="AW201" s="146"/>
      <c r="AX201" s="146"/>
      <c r="AY201" s="146"/>
    </row>
    <row r="202" spans="3:51" ht="13.5" customHeight="1">
      <c r="C202" s="377"/>
      <c r="D202" s="377"/>
      <c r="E202" s="146"/>
      <c r="F202" s="146"/>
      <c r="G202" s="146"/>
      <c r="H202" s="146"/>
      <c r="I202" s="146"/>
      <c r="J202" s="146"/>
      <c r="K202" s="146"/>
      <c r="L202" s="146"/>
      <c r="M202" s="146"/>
      <c r="N202" s="146"/>
      <c r="O202" s="146"/>
      <c r="P202" s="146"/>
      <c r="Q202" s="146"/>
      <c r="R202" s="146"/>
      <c r="S202" s="146"/>
      <c r="T202" s="146"/>
      <c r="U202" s="146"/>
      <c r="V202" s="146"/>
      <c r="W202" s="146"/>
      <c r="X202" s="146"/>
      <c r="Y202" s="146"/>
      <c r="Z202" s="146"/>
      <c r="AA202" s="146"/>
      <c r="AB202" s="146"/>
      <c r="AC202" s="146"/>
      <c r="AD202" s="146"/>
      <c r="AE202" s="146"/>
      <c r="AF202" s="146"/>
      <c r="AG202" s="146"/>
      <c r="AH202" s="146"/>
      <c r="AI202" s="146"/>
      <c r="AJ202" s="146"/>
      <c r="AK202" s="146"/>
      <c r="AL202" s="146"/>
      <c r="AM202" s="146"/>
      <c r="AN202" s="146"/>
      <c r="AO202" s="146"/>
      <c r="AP202" s="146"/>
      <c r="AQ202" s="146"/>
      <c r="AR202" s="146"/>
      <c r="AS202" s="146"/>
      <c r="AT202" s="146"/>
      <c r="AU202" s="146"/>
      <c r="AV202" s="146"/>
      <c r="AW202" s="146"/>
      <c r="AX202" s="146"/>
      <c r="AY202" s="146"/>
    </row>
    <row r="203" spans="3:51" ht="13.5" customHeight="1">
      <c r="C203" s="377"/>
      <c r="D203" s="377"/>
      <c r="E203" s="146"/>
      <c r="F203" s="146"/>
      <c r="G203" s="146"/>
      <c r="H203" s="146"/>
      <c r="I203" s="146"/>
      <c r="J203" s="146"/>
      <c r="K203" s="146"/>
      <c r="L203" s="146"/>
      <c r="M203" s="146"/>
      <c r="N203" s="146"/>
      <c r="O203" s="146"/>
      <c r="P203" s="146"/>
      <c r="Q203" s="146"/>
      <c r="R203" s="146"/>
      <c r="S203" s="146"/>
      <c r="T203" s="146"/>
      <c r="U203" s="146"/>
      <c r="V203" s="146"/>
      <c r="W203" s="146"/>
      <c r="X203" s="146"/>
      <c r="Y203" s="146"/>
      <c r="Z203" s="146"/>
      <c r="AA203" s="146"/>
      <c r="AB203" s="146"/>
      <c r="AC203" s="146"/>
      <c r="AD203" s="146"/>
      <c r="AE203" s="146"/>
      <c r="AF203" s="146"/>
      <c r="AG203" s="146"/>
      <c r="AH203" s="146"/>
      <c r="AI203" s="146"/>
      <c r="AJ203" s="146"/>
      <c r="AK203" s="146"/>
      <c r="AL203" s="146"/>
      <c r="AM203" s="146"/>
      <c r="AN203" s="146"/>
      <c r="AO203" s="146"/>
      <c r="AP203" s="146"/>
      <c r="AQ203" s="146"/>
      <c r="AR203" s="146"/>
      <c r="AS203" s="146"/>
      <c r="AT203" s="146"/>
      <c r="AU203" s="146"/>
      <c r="AV203" s="146"/>
      <c r="AW203" s="146"/>
      <c r="AX203" s="146"/>
      <c r="AY203" s="146"/>
    </row>
    <row r="204" spans="3:51" ht="13.5" customHeight="1">
      <c r="C204" s="377"/>
      <c r="D204" s="377"/>
      <c r="E204" s="146"/>
      <c r="F204" s="146"/>
      <c r="G204" s="146"/>
      <c r="H204" s="146"/>
      <c r="I204" s="146"/>
      <c r="J204" s="146"/>
      <c r="K204" s="146"/>
      <c r="L204" s="146"/>
      <c r="M204" s="146"/>
      <c r="N204" s="146"/>
      <c r="O204" s="146"/>
      <c r="P204" s="146"/>
      <c r="Q204" s="146"/>
      <c r="R204" s="146"/>
      <c r="S204" s="146"/>
      <c r="T204" s="146"/>
      <c r="U204" s="146"/>
      <c r="V204" s="146"/>
      <c r="W204" s="146"/>
      <c r="X204" s="146"/>
      <c r="Y204" s="146"/>
      <c r="Z204" s="146"/>
      <c r="AA204" s="146"/>
      <c r="AB204" s="146"/>
      <c r="AC204" s="146"/>
      <c r="AD204" s="146"/>
      <c r="AE204" s="146"/>
      <c r="AF204" s="146"/>
      <c r="AG204" s="146"/>
      <c r="AH204" s="146"/>
      <c r="AI204" s="146"/>
      <c r="AJ204" s="146"/>
      <c r="AK204" s="146"/>
      <c r="AL204" s="146"/>
      <c r="AM204" s="146"/>
      <c r="AN204" s="146"/>
      <c r="AO204" s="146"/>
      <c r="AP204" s="146"/>
      <c r="AQ204" s="146"/>
      <c r="AR204" s="146"/>
      <c r="AS204" s="146"/>
      <c r="AT204" s="146"/>
      <c r="AU204" s="146"/>
      <c r="AV204" s="146"/>
      <c r="AW204" s="146"/>
      <c r="AX204" s="146"/>
      <c r="AY204" s="146"/>
    </row>
    <row r="205" spans="3:51" ht="13.5" customHeight="1">
      <c r="C205" s="377"/>
      <c r="D205" s="377"/>
      <c r="E205" s="146"/>
      <c r="F205" s="146"/>
      <c r="G205" s="146"/>
      <c r="H205" s="146"/>
      <c r="I205" s="146"/>
      <c r="J205" s="146"/>
      <c r="K205" s="146"/>
      <c r="L205" s="146"/>
      <c r="M205" s="146"/>
      <c r="N205" s="146"/>
      <c r="O205" s="146"/>
      <c r="P205" s="146"/>
      <c r="Q205" s="146"/>
      <c r="R205" s="146"/>
      <c r="S205" s="146"/>
      <c r="T205" s="146"/>
      <c r="U205" s="146"/>
      <c r="V205" s="146"/>
      <c r="W205" s="146"/>
      <c r="X205" s="146"/>
      <c r="Y205" s="146"/>
      <c r="Z205" s="146"/>
      <c r="AA205" s="146"/>
      <c r="AB205" s="146"/>
      <c r="AC205" s="146"/>
      <c r="AD205" s="146"/>
      <c r="AE205" s="146"/>
      <c r="AF205" s="146"/>
      <c r="AG205" s="146"/>
      <c r="AH205" s="146"/>
      <c r="AI205" s="146"/>
      <c r="AJ205" s="146"/>
      <c r="AK205" s="146"/>
      <c r="AL205" s="146"/>
      <c r="AM205" s="146"/>
      <c r="AN205" s="146"/>
      <c r="AO205" s="146"/>
      <c r="AP205" s="146"/>
      <c r="AQ205" s="146"/>
      <c r="AR205" s="146"/>
      <c r="AS205" s="146"/>
      <c r="AT205" s="146"/>
      <c r="AU205" s="146"/>
      <c r="AV205" s="146"/>
      <c r="AW205" s="146"/>
      <c r="AX205" s="146"/>
      <c r="AY205" s="146"/>
    </row>
    <row r="206" spans="3:51" ht="13.5" customHeight="1">
      <c r="C206" s="377"/>
      <c r="D206" s="377"/>
      <c r="E206" s="146"/>
      <c r="F206" s="146"/>
      <c r="G206" s="146"/>
      <c r="H206" s="146"/>
      <c r="I206" s="146"/>
      <c r="J206" s="146"/>
      <c r="K206" s="146"/>
      <c r="L206" s="146"/>
      <c r="M206" s="146"/>
      <c r="N206" s="146"/>
      <c r="O206" s="146"/>
      <c r="P206" s="146"/>
      <c r="Q206" s="146"/>
      <c r="R206" s="146"/>
      <c r="S206" s="146"/>
      <c r="T206" s="146"/>
      <c r="U206" s="146"/>
      <c r="V206" s="146"/>
      <c r="W206" s="146"/>
      <c r="X206" s="146"/>
      <c r="Y206" s="146"/>
      <c r="Z206" s="146"/>
      <c r="AA206" s="146"/>
      <c r="AB206" s="146"/>
      <c r="AC206" s="146"/>
      <c r="AD206" s="146"/>
      <c r="AE206" s="146"/>
      <c r="AF206" s="146"/>
      <c r="AG206" s="146"/>
      <c r="AH206" s="146"/>
      <c r="AI206" s="146"/>
      <c r="AJ206" s="146"/>
      <c r="AK206" s="146"/>
      <c r="AL206" s="146"/>
      <c r="AM206" s="146"/>
      <c r="AN206" s="146"/>
      <c r="AO206" s="146"/>
      <c r="AP206" s="146"/>
      <c r="AQ206" s="146"/>
      <c r="AR206" s="146"/>
      <c r="AS206" s="146"/>
      <c r="AT206" s="146"/>
      <c r="AU206" s="146"/>
      <c r="AV206" s="146"/>
      <c r="AW206" s="146"/>
      <c r="AX206" s="146"/>
      <c r="AY206" s="146"/>
    </row>
    <row r="207" spans="3:51" ht="13.5" customHeight="1">
      <c r="C207" s="377"/>
      <c r="D207" s="377"/>
      <c r="E207" s="146"/>
      <c r="F207" s="146"/>
      <c r="G207" s="146"/>
      <c r="H207" s="146"/>
      <c r="I207" s="146"/>
      <c r="J207" s="146"/>
      <c r="K207" s="146"/>
      <c r="L207" s="146"/>
      <c r="M207" s="146"/>
      <c r="N207" s="146"/>
      <c r="O207" s="146"/>
      <c r="P207" s="146"/>
      <c r="Q207" s="146"/>
      <c r="R207" s="146"/>
      <c r="S207" s="146"/>
      <c r="T207" s="146"/>
      <c r="U207" s="146"/>
      <c r="V207" s="146"/>
      <c r="W207" s="146"/>
      <c r="X207" s="146"/>
      <c r="Y207" s="146"/>
      <c r="Z207" s="146"/>
      <c r="AA207" s="146"/>
      <c r="AB207" s="146"/>
      <c r="AC207" s="146"/>
      <c r="AD207" s="146"/>
      <c r="AE207" s="146"/>
      <c r="AF207" s="146"/>
      <c r="AG207" s="146"/>
      <c r="AH207" s="146"/>
      <c r="AI207" s="146"/>
      <c r="AJ207" s="146"/>
      <c r="AK207" s="146"/>
      <c r="AL207" s="146"/>
      <c r="AM207" s="146"/>
      <c r="AN207" s="146"/>
      <c r="AO207" s="146"/>
      <c r="AP207" s="146"/>
      <c r="AQ207" s="146"/>
      <c r="AR207" s="146"/>
      <c r="AS207" s="146"/>
      <c r="AT207" s="146"/>
      <c r="AU207" s="146"/>
      <c r="AV207" s="146"/>
      <c r="AW207" s="146"/>
      <c r="AX207" s="146"/>
      <c r="AY207" s="146"/>
    </row>
    <row r="208" spans="3:51" ht="13.5" customHeight="1">
      <c r="C208" s="377"/>
      <c r="D208" s="377"/>
      <c r="E208" s="146"/>
      <c r="F208" s="146"/>
      <c r="G208" s="146"/>
      <c r="H208" s="146"/>
      <c r="I208" s="146"/>
      <c r="J208" s="146"/>
      <c r="K208" s="146"/>
      <c r="L208" s="146"/>
      <c r="M208" s="146"/>
      <c r="N208" s="146"/>
      <c r="O208" s="146"/>
      <c r="P208" s="146"/>
      <c r="Q208" s="146"/>
      <c r="R208" s="146"/>
      <c r="S208" s="146"/>
      <c r="T208" s="146"/>
      <c r="U208" s="146"/>
      <c r="V208" s="146"/>
      <c r="W208" s="146"/>
      <c r="X208" s="146"/>
      <c r="Y208" s="146"/>
      <c r="Z208" s="146"/>
      <c r="AA208" s="146"/>
      <c r="AB208" s="146"/>
      <c r="AC208" s="146"/>
      <c r="AD208" s="146"/>
      <c r="AE208" s="146"/>
      <c r="AF208" s="146"/>
      <c r="AG208" s="146"/>
      <c r="AH208" s="146"/>
      <c r="AI208" s="146"/>
      <c r="AJ208" s="146"/>
      <c r="AK208" s="146"/>
      <c r="AL208" s="146"/>
      <c r="AM208" s="146"/>
      <c r="AN208" s="146"/>
      <c r="AO208" s="146"/>
      <c r="AP208" s="146"/>
      <c r="AQ208" s="146"/>
      <c r="AR208" s="146"/>
      <c r="AS208" s="146"/>
      <c r="AT208" s="146"/>
      <c r="AU208" s="146"/>
      <c r="AV208" s="146"/>
      <c r="AW208" s="146"/>
      <c r="AX208" s="146"/>
      <c r="AY208" s="146"/>
    </row>
    <row r="209" spans="3:51" ht="13.5" customHeight="1">
      <c r="C209" s="377"/>
      <c r="D209" s="377"/>
      <c r="E209" s="146"/>
      <c r="F209" s="146"/>
      <c r="G209" s="146"/>
      <c r="H209" s="146"/>
      <c r="I209" s="146"/>
      <c r="J209" s="146"/>
      <c r="K209" s="146"/>
      <c r="L209" s="146"/>
      <c r="M209" s="146"/>
      <c r="N209" s="146"/>
      <c r="O209" s="146"/>
      <c r="P209" s="146"/>
      <c r="Q209" s="146"/>
      <c r="R209" s="146"/>
      <c r="S209" s="146"/>
      <c r="T209" s="146"/>
      <c r="U209" s="146"/>
      <c r="V209" s="146"/>
      <c r="W209" s="146"/>
      <c r="X209" s="146"/>
      <c r="Y209" s="146"/>
      <c r="Z209" s="146"/>
      <c r="AA209" s="146"/>
      <c r="AB209" s="146"/>
      <c r="AC209" s="146"/>
      <c r="AD209" s="146"/>
      <c r="AE209" s="146"/>
      <c r="AF209" s="146"/>
      <c r="AG209" s="146"/>
      <c r="AH209" s="146"/>
      <c r="AI209" s="146"/>
      <c r="AJ209" s="146"/>
      <c r="AK209" s="146"/>
      <c r="AL209" s="146"/>
      <c r="AM209" s="146"/>
      <c r="AN209" s="146"/>
      <c r="AO209" s="146"/>
      <c r="AP209" s="146"/>
      <c r="AQ209" s="146"/>
      <c r="AR209" s="146"/>
      <c r="AS209" s="146"/>
      <c r="AT209" s="146"/>
      <c r="AU209" s="146"/>
      <c r="AV209" s="146"/>
      <c r="AW209" s="146"/>
      <c r="AX209" s="146"/>
      <c r="AY209" s="146"/>
    </row>
    <row r="210" spans="3:51" ht="13.5" customHeight="1">
      <c r="C210" s="377"/>
      <c r="D210" s="377"/>
      <c r="E210" s="146"/>
      <c r="F210" s="146"/>
      <c r="G210" s="146"/>
      <c r="H210" s="146"/>
      <c r="I210" s="146"/>
      <c r="J210" s="146"/>
      <c r="K210" s="146"/>
      <c r="L210" s="146"/>
      <c r="M210" s="146"/>
      <c r="N210" s="146"/>
      <c r="O210" s="146"/>
      <c r="P210" s="146"/>
      <c r="Q210" s="146"/>
      <c r="R210" s="146"/>
      <c r="S210" s="146"/>
      <c r="T210" s="146"/>
      <c r="U210" s="146"/>
      <c r="V210" s="146"/>
      <c r="W210" s="146"/>
      <c r="X210" s="146"/>
      <c r="Y210" s="146"/>
      <c r="Z210" s="146"/>
      <c r="AA210" s="146"/>
      <c r="AB210" s="146"/>
      <c r="AC210" s="146"/>
      <c r="AD210" s="146"/>
      <c r="AE210" s="146"/>
      <c r="AF210" s="146"/>
      <c r="AG210" s="146"/>
      <c r="AH210" s="146"/>
      <c r="AI210" s="146"/>
      <c r="AJ210" s="146"/>
      <c r="AK210" s="146"/>
      <c r="AL210" s="146"/>
      <c r="AM210" s="146"/>
      <c r="AN210" s="146"/>
      <c r="AO210" s="146"/>
      <c r="AP210" s="146"/>
      <c r="AQ210" s="146"/>
      <c r="AR210" s="146"/>
      <c r="AS210" s="146"/>
      <c r="AT210" s="146"/>
      <c r="AU210" s="146"/>
      <c r="AV210" s="146"/>
      <c r="AW210" s="146"/>
      <c r="AX210" s="146"/>
      <c r="AY210" s="146"/>
    </row>
    <row r="211" spans="3:51" ht="13.5" customHeight="1">
      <c r="C211" s="377"/>
      <c r="D211" s="377"/>
      <c r="E211" s="146"/>
      <c r="F211" s="146"/>
      <c r="G211" s="146"/>
      <c r="H211" s="146"/>
      <c r="I211" s="146"/>
      <c r="J211" s="146"/>
      <c r="K211" s="146"/>
      <c r="L211" s="146"/>
      <c r="M211" s="146"/>
      <c r="N211" s="146"/>
      <c r="O211" s="146"/>
      <c r="P211" s="146"/>
      <c r="Q211" s="146"/>
      <c r="R211" s="146"/>
      <c r="S211" s="146"/>
      <c r="T211" s="146"/>
      <c r="U211" s="146"/>
      <c r="V211" s="146"/>
      <c r="W211" s="146"/>
      <c r="X211" s="146"/>
      <c r="Y211" s="146"/>
      <c r="Z211" s="146"/>
      <c r="AA211" s="146"/>
      <c r="AB211" s="146"/>
      <c r="AC211" s="146"/>
      <c r="AD211" s="146"/>
      <c r="AE211" s="146"/>
      <c r="AF211" s="146"/>
      <c r="AG211" s="146"/>
      <c r="AH211" s="146"/>
      <c r="AI211" s="146"/>
      <c r="AJ211" s="146"/>
      <c r="AK211" s="146"/>
      <c r="AL211" s="146"/>
      <c r="AM211" s="146"/>
      <c r="AN211" s="146"/>
      <c r="AO211" s="146"/>
      <c r="AP211" s="146"/>
      <c r="AQ211" s="146"/>
      <c r="AR211" s="146"/>
      <c r="AS211" s="146"/>
      <c r="AT211" s="146"/>
      <c r="AU211" s="146"/>
      <c r="AV211" s="146"/>
      <c r="AW211" s="146"/>
      <c r="AX211" s="146"/>
      <c r="AY211" s="146"/>
    </row>
    <row r="212" spans="3:51" ht="13.5" customHeight="1">
      <c r="C212" s="377"/>
      <c r="D212" s="377"/>
      <c r="E212" s="146"/>
      <c r="F212" s="146"/>
      <c r="G212" s="146"/>
      <c r="H212" s="146"/>
      <c r="I212" s="146"/>
      <c r="J212" s="146"/>
      <c r="K212" s="146"/>
      <c r="L212" s="146"/>
      <c r="M212" s="146"/>
      <c r="N212" s="146"/>
      <c r="O212" s="146"/>
      <c r="P212" s="146"/>
      <c r="Q212" s="146"/>
      <c r="R212" s="146"/>
      <c r="S212" s="146"/>
      <c r="T212" s="146"/>
      <c r="U212" s="146"/>
      <c r="V212" s="146"/>
      <c r="W212" s="146"/>
      <c r="X212" s="146"/>
      <c r="Y212" s="146"/>
      <c r="Z212" s="146"/>
      <c r="AA212" s="146"/>
      <c r="AB212" s="146"/>
      <c r="AC212" s="146"/>
      <c r="AD212" s="146"/>
      <c r="AE212" s="146"/>
      <c r="AF212" s="146"/>
      <c r="AG212" s="146"/>
      <c r="AH212" s="146"/>
      <c r="AI212" s="146"/>
      <c r="AJ212" s="146"/>
      <c r="AK212" s="146"/>
      <c r="AL212" s="146"/>
      <c r="AM212" s="146"/>
      <c r="AN212" s="146"/>
      <c r="AO212" s="146"/>
      <c r="AP212" s="146"/>
      <c r="AQ212" s="146"/>
      <c r="AR212" s="146"/>
      <c r="AS212" s="146"/>
      <c r="AT212" s="146"/>
      <c r="AU212" s="146"/>
      <c r="AV212" s="146"/>
      <c r="AW212" s="146"/>
      <c r="AX212" s="146"/>
      <c r="AY212" s="146"/>
    </row>
    <row r="213" spans="3:51" ht="13.5" customHeight="1">
      <c r="C213" s="377"/>
      <c r="D213" s="377"/>
      <c r="E213" s="146"/>
      <c r="F213" s="146"/>
      <c r="G213" s="146"/>
      <c r="H213" s="146"/>
      <c r="I213" s="146"/>
      <c r="J213" s="146"/>
      <c r="K213" s="146"/>
      <c r="L213" s="146"/>
      <c r="M213" s="146"/>
      <c r="N213" s="146"/>
      <c r="O213" s="146"/>
      <c r="P213" s="146"/>
      <c r="Q213" s="146"/>
      <c r="R213" s="146"/>
      <c r="S213" s="146"/>
      <c r="T213" s="146"/>
      <c r="U213" s="146"/>
      <c r="V213" s="146"/>
      <c r="W213" s="146"/>
      <c r="X213" s="146"/>
      <c r="Y213" s="146"/>
      <c r="Z213" s="146"/>
      <c r="AA213" s="146"/>
      <c r="AB213" s="146"/>
      <c r="AC213" s="146"/>
      <c r="AD213" s="146"/>
      <c r="AE213" s="146"/>
      <c r="AF213" s="146"/>
      <c r="AG213" s="146"/>
      <c r="AH213" s="146"/>
      <c r="AI213" s="146"/>
      <c r="AJ213" s="146"/>
      <c r="AK213" s="146"/>
      <c r="AL213" s="146"/>
      <c r="AM213" s="146"/>
      <c r="AN213" s="146"/>
      <c r="AO213" s="146"/>
      <c r="AP213" s="146"/>
      <c r="AQ213" s="146"/>
      <c r="AR213" s="146"/>
      <c r="AS213" s="146"/>
      <c r="AT213" s="146"/>
      <c r="AU213" s="146"/>
      <c r="AV213" s="146"/>
      <c r="AW213" s="146"/>
      <c r="AX213" s="146"/>
      <c r="AY213" s="146"/>
    </row>
    <row r="214" spans="3:51" ht="13.5" customHeight="1">
      <c r="C214" s="377"/>
      <c r="D214" s="377"/>
      <c r="E214" s="146"/>
      <c r="F214" s="146"/>
      <c r="G214" s="146"/>
      <c r="H214" s="146"/>
      <c r="I214" s="146"/>
      <c r="J214" s="146"/>
      <c r="K214" s="146"/>
      <c r="L214" s="146"/>
      <c r="M214" s="146"/>
      <c r="N214" s="146"/>
      <c r="O214" s="146"/>
      <c r="P214" s="146"/>
      <c r="Q214" s="146"/>
      <c r="R214" s="146"/>
      <c r="S214" s="146"/>
      <c r="T214" s="146"/>
      <c r="U214" s="146"/>
      <c r="V214" s="146"/>
      <c r="W214" s="146"/>
      <c r="X214" s="146"/>
      <c r="Y214" s="146"/>
      <c r="Z214" s="146"/>
      <c r="AA214" s="146"/>
      <c r="AB214" s="146"/>
      <c r="AC214" s="146"/>
      <c r="AD214" s="146"/>
      <c r="AE214" s="146"/>
      <c r="AF214" s="146"/>
      <c r="AG214" s="146"/>
      <c r="AH214" s="146"/>
      <c r="AI214" s="146"/>
      <c r="AJ214" s="146"/>
      <c r="AK214" s="146"/>
      <c r="AL214" s="146"/>
      <c r="AM214" s="146"/>
      <c r="AN214" s="146"/>
      <c r="AO214" s="146"/>
      <c r="AP214" s="146"/>
      <c r="AQ214" s="146"/>
      <c r="AR214" s="146"/>
      <c r="AS214" s="146"/>
      <c r="AT214" s="146"/>
      <c r="AU214" s="146"/>
      <c r="AV214" s="146"/>
      <c r="AW214" s="146"/>
      <c r="AX214" s="146"/>
      <c r="AY214" s="146"/>
    </row>
    <row r="215" spans="3:51" ht="13.5" customHeight="1">
      <c r="C215" s="377"/>
      <c r="D215" s="377"/>
      <c r="E215" s="146"/>
      <c r="F215" s="146"/>
      <c r="G215" s="146"/>
      <c r="H215" s="146"/>
      <c r="I215" s="146"/>
      <c r="J215" s="146"/>
      <c r="K215" s="146"/>
      <c r="L215" s="146"/>
      <c r="M215" s="146"/>
      <c r="N215" s="146"/>
      <c r="O215" s="146"/>
      <c r="P215" s="146"/>
      <c r="Q215" s="146"/>
      <c r="R215" s="146"/>
      <c r="S215" s="146"/>
      <c r="T215" s="146"/>
      <c r="U215" s="146"/>
      <c r="V215" s="146"/>
      <c r="W215" s="146"/>
      <c r="X215" s="146"/>
      <c r="Y215" s="146"/>
      <c r="Z215" s="146"/>
      <c r="AA215" s="146"/>
      <c r="AB215" s="146"/>
      <c r="AC215" s="146"/>
      <c r="AD215" s="146"/>
      <c r="AE215" s="146"/>
      <c r="AF215" s="146"/>
      <c r="AG215" s="146"/>
      <c r="AH215" s="146"/>
      <c r="AI215" s="146"/>
      <c r="AJ215" s="146"/>
      <c r="AK215" s="146"/>
      <c r="AL215" s="146"/>
      <c r="AM215" s="146"/>
      <c r="AN215" s="146"/>
      <c r="AO215" s="146"/>
      <c r="AP215" s="146"/>
      <c r="AQ215" s="146"/>
      <c r="AR215" s="146"/>
      <c r="AS215" s="146"/>
      <c r="AT215" s="146"/>
      <c r="AU215" s="146"/>
      <c r="AV215" s="146"/>
      <c r="AW215" s="146"/>
      <c r="AX215" s="146"/>
      <c r="AY215" s="146"/>
    </row>
    <row r="216" spans="3:51" ht="13.5" customHeight="1">
      <c r="C216" s="377"/>
      <c r="D216" s="377"/>
      <c r="E216" s="146"/>
      <c r="F216" s="146"/>
      <c r="G216" s="146"/>
      <c r="H216" s="146"/>
      <c r="I216" s="146"/>
      <c r="J216" s="146"/>
      <c r="K216" s="146"/>
      <c r="L216" s="146"/>
      <c r="M216" s="146"/>
      <c r="N216" s="146"/>
      <c r="O216" s="146"/>
      <c r="P216" s="146"/>
      <c r="Q216" s="146"/>
      <c r="R216" s="146"/>
      <c r="S216" s="146"/>
      <c r="T216" s="146"/>
      <c r="U216" s="146"/>
      <c r="V216" s="146"/>
      <c r="W216" s="146"/>
      <c r="X216" s="146"/>
      <c r="Y216" s="146"/>
      <c r="Z216" s="146"/>
      <c r="AA216" s="146"/>
      <c r="AB216" s="146"/>
      <c r="AC216" s="146"/>
      <c r="AD216" s="146"/>
      <c r="AE216" s="146"/>
      <c r="AF216" s="146"/>
      <c r="AG216" s="146"/>
      <c r="AH216" s="146"/>
      <c r="AI216" s="146"/>
      <c r="AJ216" s="146"/>
      <c r="AK216" s="146"/>
      <c r="AL216" s="146"/>
      <c r="AM216" s="146"/>
      <c r="AN216" s="146"/>
      <c r="AO216" s="146"/>
      <c r="AP216" s="146"/>
      <c r="AQ216" s="146"/>
      <c r="AR216" s="146"/>
      <c r="AS216" s="146"/>
      <c r="AT216" s="146"/>
      <c r="AU216" s="146"/>
      <c r="AV216" s="146"/>
      <c r="AW216" s="146"/>
      <c r="AX216" s="146"/>
      <c r="AY216" s="146"/>
    </row>
    <row r="217" spans="3:51" ht="13.5" customHeight="1">
      <c r="C217" s="377"/>
      <c r="D217" s="377"/>
      <c r="E217" s="146"/>
      <c r="F217" s="146"/>
      <c r="G217" s="146"/>
      <c r="H217" s="146"/>
      <c r="I217" s="146"/>
      <c r="J217" s="146"/>
      <c r="K217" s="146"/>
      <c r="L217" s="146"/>
      <c r="M217" s="146"/>
      <c r="N217" s="146"/>
      <c r="O217" s="146"/>
      <c r="P217" s="146"/>
      <c r="Q217" s="146"/>
      <c r="R217" s="146"/>
      <c r="S217" s="146"/>
      <c r="T217" s="146"/>
      <c r="U217" s="146"/>
      <c r="V217" s="146"/>
      <c r="W217" s="146"/>
      <c r="X217" s="146"/>
      <c r="Y217" s="146"/>
      <c r="Z217" s="146"/>
      <c r="AA217" s="146"/>
      <c r="AB217" s="146"/>
      <c r="AC217" s="146"/>
      <c r="AD217" s="146"/>
      <c r="AE217" s="146"/>
      <c r="AF217" s="146"/>
      <c r="AG217" s="146"/>
      <c r="AH217" s="146"/>
      <c r="AI217" s="146"/>
      <c r="AJ217" s="146"/>
      <c r="AK217" s="146"/>
      <c r="AL217" s="146"/>
      <c r="AM217" s="146"/>
      <c r="AN217" s="146"/>
      <c r="AO217" s="146"/>
      <c r="AP217" s="146"/>
      <c r="AQ217" s="146"/>
      <c r="AR217" s="146"/>
      <c r="AS217" s="146"/>
      <c r="AT217" s="146"/>
      <c r="AU217" s="146"/>
      <c r="AV217" s="146"/>
      <c r="AW217" s="146"/>
      <c r="AX217" s="146"/>
      <c r="AY217" s="146"/>
    </row>
    <row r="218" spans="3:51" ht="13.5" customHeight="1">
      <c r="C218" s="377"/>
      <c r="D218" s="377"/>
      <c r="E218" s="146"/>
      <c r="F218" s="146"/>
      <c r="G218" s="146"/>
      <c r="H218" s="146"/>
      <c r="I218" s="146"/>
      <c r="J218" s="146"/>
      <c r="K218" s="146"/>
      <c r="L218" s="146"/>
      <c r="M218" s="146"/>
      <c r="N218" s="146"/>
      <c r="O218" s="146"/>
      <c r="P218" s="146"/>
      <c r="Q218" s="146"/>
      <c r="R218" s="146"/>
      <c r="S218" s="146"/>
      <c r="T218" s="146"/>
      <c r="U218" s="146"/>
      <c r="V218" s="146"/>
      <c r="W218" s="146"/>
      <c r="X218" s="146"/>
      <c r="Y218" s="146"/>
      <c r="Z218" s="146"/>
      <c r="AA218" s="146"/>
      <c r="AB218" s="146"/>
      <c r="AC218" s="146"/>
      <c r="AD218" s="146"/>
      <c r="AE218" s="146"/>
      <c r="AF218" s="146"/>
      <c r="AG218" s="146"/>
      <c r="AH218" s="146"/>
      <c r="AI218" s="146"/>
      <c r="AJ218" s="146"/>
      <c r="AK218" s="146"/>
      <c r="AL218" s="146"/>
      <c r="AM218" s="146"/>
      <c r="AN218" s="146"/>
      <c r="AO218" s="146"/>
      <c r="AP218" s="146"/>
      <c r="AQ218" s="146"/>
      <c r="AR218" s="146"/>
      <c r="AS218" s="146"/>
      <c r="AT218" s="146"/>
      <c r="AU218" s="146"/>
      <c r="AV218" s="146"/>
      <c r="AW218" s="146"/>
      <c r="AX218" s="146"/>
      <c r="AY218" s="146"/>
    </row>
    <row r="219" spans="3:51" ht="13.5" customHeight="1">
      <c r="C219" s="377"/>
      <c r="D219" s="377"/>
      <c r="E219" s="146"/>
      <c r="F219" s="146"/>
      <c r="G219" s="146"/>
      <c r="H219" s="146"/>
      <c r="I219" s="146"/>
      <c r="J219" s="146"/>
      <c r="K219" s="146"/>
      <c r="L219" s="146"/>
      <c r="M219" s="146"/>
      <c r="N219" s="146"/>
      <c r="O219" s="146"/>
      <c r="P219" s="146"/>
      <c r="Q219" s="146"/>
      <c r="R219" s="146"/>
      <c r="S219" s="146"/>
      <c r="T219" s="146"/>
      <c r="U219" s="146"/>
      <c r="V219" s="146"/>
      <c r="W219" s="146"/>
      <c r="X219" s="146"/>
      <c r="Y219" s="146"/>
      <c r="Z219" s="146"/>
      <c r="AA219" s="146"/>
      <c r="AB219" s="146"/>
      <c r="AC219" s="146"/>
      <c r="AD219" s="146"/>
      <c r="AE219" s="146"/>
      <c r="AF219" s="146"/>
      <c r="AG219" s="146"/>
      <c r="AH219" s="146"/>
      <c r="AI219" s="146"/>
      <c r="AJ219" s="146"/>
      <c r="AK219" s="146"/>
      <c r="AL219" s="146"/>
      <c r="AM219" s="146"/>
      <c r="AN219" s="146"/>
      <c r="AO219" s="146"/>
      <c r="AP219" s="146"/>
      <c r="AQ219" s="146"/>
      <c r="AR219" s="146"/>
      <c r="AS219" s="146"/>
      <c r="AT219" s="146"/>
      <c r="AU219" s="146"/>
      <c r="AV219" s="146"/>
      <c r="AW219" s="146"/>
      <c r="AX219" s="146"/>
      <c r="AY219" s="146"/>
    </row>
    <row r="220" spans="3:51" ht="13.5" customHeight="1">
      <c r="C220" s="377"/>
      <c r="D220" s="377"/>
      <c r="E220" s="146"/>
      <c r="F220" s="146"/>
      <c r="G220" s="146"/>
      <c r="H220" s="146"/>
      <c r="I220" s="146"/>
      <c r="J220" s="146"/>
      <c r="K220" s="146"/>
      <c r="L220" s="146"/>
      <c r="M220" s="146"/>
      <c r="N220" s="146"/>
      <c r="O220" s="146"/>
      <c r="P220" s="146"/>
      <c r="Q220" s="146"/>
      <c r="R220" s="146"/>
      <c r="S220" s="146"/>
      <c r="T220" s="146"/>
      <c r="U220" s="146"/>
      <c r="V220" s="146"/>
      <c r="W220" s="146"/>
      <c r="X220" s="146"/>
      <c r="Y220" s="146"/>
      <c r="Z220" s="146"/>
      <c r="AA220" s="146"/>
      <c r="AB220" s="146"/>
      <c r="AC220" s="146"/>
      <c r="AD220" s="146"/>
      <c r="AE220" s="146"/>
      <c r="AF220" s="146"/>
      <c r="AG220" s="146"/>
      <c r="AH220" s="146"/>
      <c r="AI220" s="146"/>
      <c r="AJ220" s="146"/>
      <c r="AK220" s="146"/>
      <c r="AL220" s="146"/>
      <c r="AM220" s="146"/>
      <c r="AN220" s="146"/>
      <c r="AO220" s="146"/>
      <c r="AP220" s="146"/>
      <c r="AQ220" s="146"/>
      <c r="AR220" s="146"/>
      <c r="AS220" s="146"/>
      <c r="AT220" s="146"/>
      <c r="AU220" s="146"/>
      <c r="AV220" s="146"/>
      <c r="AW220" s="146"/>
      <c r="AX220" s="146"/>
      <c r="AY220" s="146"/>
    </row>
    <row r="221" spans="3:51" ht="13.5" customHeight="1">
      <c r="C221" s="377"/>
      <c r="D221" s="377"/>
      <c r="E221" s="146"/>
      <c r="F221" s="146"/>
      <c r="G221" s="146"/>
      <c r="H221" s="146"/>
      <c r="I221" s="146"/>
      <c r="J221" s="146"/>
      <c r="K221" s="146"/>
      <c r="L221" s="146"/>
      <c r="M221" s="146"/>
      <c r="N221" s="146"/>
      <c r="O221" s="146"/>
      <c r="P221" s="146"/>
      <c r="Q221" s="146"/>
      <c r="R221" s="146"/>
      <c r="S221" s="146"/>
      <c r="T221" s="146"/>
      <c r="U221" s="146"/>
      <c r="V221" s="146"/>
      <c r="W221" s="146"/>
      <c r="X221" s="146"/>
      <c r="Y221" s="146"/>
      <c r="Z221" s="146"/>
      <c r="AA221" s="146"/>
      <c r="AB221" s="146"/>
      <c r="AC221" s="146"/>
      <c r="AD221" s="146"/>
      <c r="AE221" s="146"/>
      <c r="AF221" s="146"/>
      <c r="AG221" s="146"/>
      <c r="AH221" s="146"/>
      <c r="AI221" s="146"/>
      <c r="AJ221" s="146"/>
      <c r="AK221" s="146"/>
      <c r="AL221" s="146"/>
      <c r="AM221" s="146"/>
      <c r="AN221" s="146"/>
      <c r="AO221" s="146"/>
      <c r="AP221" s="146"/>
      <c r="AQ221" s="146"/>
      <c r="AR221" s="146"/>
      <c r="AS221" s="146"/>
      <c r="AT221" s="146"/>
      <c r="AU221" s="146"/>
      <c r="AV221" s="146"/>
      <c r="AW221" s="146"/>
      <c r="AX221" s="146"/>
      <c r="AY221" s="146"/>
    </row>
    <row r="222" spans="3:51" ht="13.5" customHeight="1">
      <c r="C222" s="377"/>
      <c r="D222" s="377"/>
      <c r="E222" s="146"/>
      <c r="F222" s="146"/>
      <c r="G222" s="146"/>
      <c r="H222" s="146"/>
      <c r="I222" s="146"/>
      <c r="J222" s="146"/>
      <c r="K222" s="146"/>
      <c r="L222" s="146"/>
      <c r="M222" s="146"/>
      <c r="N222" s="146"/>
      <c r="O222" s="146"/>
      <c r="P222" s="146"/>
      <c r="Q222" s="146"/>
      <c r="R222" s="146"/>
      <c r="S222" s="146"/>
      <c r="T222" s="146"/>
      <c r="U222" s="146"/>
      <c r="V222" s="146"/>
      <c r="W222" s="146"/>
      <c r="X222" s="146"/>
      <c r="Y222" s="146"/>
      <c r="Z222" s="146"/>
      <c r="AA222" s="146"/>
      <c r="AB222" s="146"/>
      <c r="AC222" s="146"/>
      <c r="AD222" s="146"/>
      <c r="AE222" s="146"/>
      <c r="AF222" s="146"/>
      <c r="AG222" s="146"/>
      <c r="AH222" s="146"/>
      <c r="AI222" s="146"/>
      <c r="AJ222" s="146"/>
      <c r="AK222" s="146"/>
      <c r="AL222" s="146"/>
      <c r="AM222" s="146"/>
      <c r="AN222" s="146"/>
      <c r="AO222" s="146"/>
      <c r="AP222" s="146"/>
      <c r="AQ222" s="146"/>
      <c r="AR222" s="146"/>
      <c r="AS222" s="146"/>
      <c r="AT222" s="146"/>
      <c r="AU222" s="146"/>
      <c r="AV222" s="146"/>
      <c r="AW222" s="146"/>
      <c r="AX222" s="146"/>
      <c r="AY222" s="146"/>
    </row>
    <row r="223" spans="3:51" ht="13.5" customHeight="1">
      <c r="C223" s="377"/>
      <c r="D223" s="377"/>
      <c r="E223" s="146"/>
      <c r="F223" s="146"/>
      <c r="G223" s="146"/>
      <c r="H223" s="146"/>
      <c r="I223" s="146"/>
      <c r="J223" s="146"/>
      <c r="K223" s="146"/>
      <c r="L223" s="146"/>
      <c r="M223" s="146"/>
      <c r="N223" s="146"/>
      <c r="O223" s="146"/>
      <c r="P223" s="146"/>
      <c r="Q223" s="146"/>
      <c r="R223" s="146"/>
      <c r="S223" s="146"/>
      <c r="T223" s="146"/>
      <c r="U223" s="146"/>
      <c r="V223" s="146"/>
      <c r="W223" s="146"/>
      <c r="X223" s="146"/>
      <c r="Y223" s="146"/>
      <c r="Z223" s="146"/>
      <c r="AA223" s="146"/>
      <c r="AB223" s="146"/>
      <c r="AC223" s="146"/>
      <c r="AD223" s="146"/>
      <c r="AE223" s="146"/>
      <c r="AF223" s="146"/>
      <c r="AG223" s="146"/>
      <c r="AH223" s="146"/>
      <c r="AI223" s="146"/>
      <c r="AJ223" s="146"/>
      <c r="AK223" s="146"/>
      <c r="AL223" s="146"/>
      <c r="AM223" s="146"/>
      <c r="AN223" s="146"/>
      <c r="AO223" s="146"/>
      <c r="AP223" s="146"/>
      <c r="AQ223" s="146"/>
      <c r="AR223" s="146"/>
      <c r="AS223" s="146"/>
      <c r="AT223" s="146"/>
      <c r="AU223" s="146"/>
      <c r="AV223" s="146"/>
      <c r="AW223" s="146"/>
      <c r="AX223" s="146"/>
      <c r="AY223" s="146"/>
    </row>
    <row r="224" spans="3:51" ht="13.5" customHeight="1">
      <c r="C224" s="377"/>
      <c r="D224" s="377"/>
      <c r="E224" s="146"/>
      <c r="F224" s="146"/>
      <c r="G224" s="146"/>
      <c r="H224" s="146"/>
      <c r="I224" s="146"/>
      <c r="J224" s="146"/>
      <c r="K224" s="146"/>
      <c r="L224" s="146"/>
      <c r="M224" s="146"/>
      <c r="N224" s="146"/>
      <c r="O224" s="146"/>
      <c r="P224" s="146"/>
      <c r="Q224" s="146"/>
      <c r="R224" s="146"/>
      <c r="S224" s="146"/>
      <c r="T224" s="146"/>
      <c r="U224" s="146"/>
      <c r="V224" s="146"/>
      <c r="W224" s="146"/>
      <c r="X224" s="146"/>
      <c r="Y224" s="146"/>
      <c r="Z224" s="146"/>
      <c r="AA224" s="146"/>
      <c r="AB224" s="146"/>
      <c r="AC224" s="146"/>
      <c r="AD224" s="146"/>
      <c r="AE224" s="146"/>
      <c r="AF224" s="146"/>
      <c r="AG224" s="146"/>
      <c r="AH224" s="146"/>
      <c r="AI224" s="146"/>
      <c r="AJ224" s="146"/>
      <c r="AK224" s="146"/>
      <c r="AL224" s="146"/>
      <c r="AM224" s="146"/>
      <c r="AN224" s="146"/>
      <c r="AO224" s="146"/>
      <c r="AP224" s="146"/>
      <c r="AQ224" s="146"/>
      <c r="AR224" s="146"/>
      <c r="AS224" s="146"/>
      <c r="AT224" s="146"/>
      <c r="AU224" s="146"/>
      <c r="AV224" s="146"/>
      <c r="AW224" s="146"/>
      <c r="AX224" s="146"/>
      <c r="AY224" s="146"/>
    </row>
    <row r="225" spans="3:51" ht="13.5" customHeight="1">
      <c r="C225" s="377"/>
      <c r="D225" s="377"/>
      <c r="E225" s="146"/>
      <c r="F225" s="146"/>
      <c r="G225" s="146"/>
      <c r="H225" s="146"/>
      <c r="I225" s="146"/>
      <c r="J225" s="146"/>
      <c r="K225" s="146"/>
      <c r="L225" s="146"/>
      <c r="M225" s="146"/>
      <c r="N225" s="146"/>
      <c r="O225" s="146"/>
      <c r="P225" s="146"/>
      <c r="Q225" s="146"/>
      <c r="R225" s="146"/>
      <c r="S225" s="146"/>
      <c r="T225" s="146"/>
      <c r="U225" s="146"/>
      <c r="V225" s="146"/>
      <c r="W225" s="146"/>
      <c r="X225" s="146"/>
      <c r="Y225" s="146"/>
      <c r="Z225" s="146"/>
      <c r="AA225" s="146"/>
      <c r="AB225" s="146"/>
      <c r="AC225" s="146"/>
      <c r="AD225" s="146"/>
      <c r="AE225" s="146"/>
      <c r="AF225" s="146"/>
      <c r="AG225" s="146"/>
      <c r="AH225" s="146"/>
      <c r="AI225" s="146"/>
      <c r="AJ225" s="146"/>
      <c r="AK225" s="146"/>
      <c r="AL225" s="146"/>
      <c r="AM225" s="146"/>
      <c r="AN225" s="146"/>
      <c r="AO225" s="146"/>
      <c r="AP225" s="146"/>
      <c r="AQ225" s="146"/>
      <c r="AR225" s="146"/>
      <c r="AS225" s="146"/>
      <c r="AT225" s="146"/>
      <c r="AU225" s="146"/>
      <c r="AV225" s="146"/>
      <c r="AW225" s="146"/>
      <c r="AX225" s="146"/>
      <c r="AY225" s="146"/>
    </row>
    <row r="226" spans="3:51" ht="13.5" customHeight="1">
      <c r="C226" s="377"/>
      <c r="D226" s="377"/>
      <c r="E226" s="146"/>
      <c r="F226" s="146"/>
      <c r="G226" s="146"/>
      <c r="H226" s="146"/>
      <c r="I226" s="146"/>
      <c r="J226" s="146"/>
      <c r="K226" s="146"/>
      <c r="L226" s="146"/>
      <c r="M226" s="146"/>
      <c r="N226" s="146"/>
      <c r="O226" s="146"/>
      <c r="P226" s="146"/>
      <c r="Q226" s="146"/>
      <c r="R226" s="146"/>
      <c r="S226" s="146"/>
      <c r="T226" s="146"/>
      <c r="U226" s="146"/>
      <c r="V226" s="146"/>
      <c r="W226" s="146"/>
      <c r="X226" s="146"/>
      <c r="Y226" s="146"/>
      <c r="Z226" s="146"/>
      <c r="AA226" s="146"/>
      <c r="AB226" s="146"/>
      <c r="AC226" s="146"/>
      <c r="AD226" s="146"/>
      <c r="AE226" s="146"/>
      <c r="AF226" s="146"/>
      <c r="AG226" s="146"/>
      <c r="AH226" s="146"/>
      <c r="AI226" s="146"/>
      <c r="AJ226" s="146"/>
      <c r="AK226" s="146"/>
      <c r="AL226" s="146"/>
      <c r="AM226" s="146"/>
      <c r="AN226" s="146"/>
      <c r="AO226" s="146"/>
      <c r="AP226" s="146"/>
      <c r="AQ226" s="146"/>
      <c r="AR226" s="146"/>
      <c r="AS226" s="146"/>
      <c r="AT226" s="146"/>
      <c r="AU226" s="146"/>
      <c r="AV226" s="146"/>
      <c r="AW226" s="146"/>
      <c r="AX226" s="146"/>
      <c r="AY226" s="146"/>
    </row>
    <row r="227" spans="3:51" ht="13.5" customHeight="1">
      <c r="C227" s="377"/>
      <c r="D227" s="377"/>
      <c r="E227" s="146"/>
      <c r="F227" s="146"/>
      <c r="G227" s="146"/>
      <c r="H227" s="146"/>
      <c r="I227" s="146"/>
      <c r="J227" s="146"/>
      <c r="K227" s="146"/>
      <c r="L227" s="146"/>
      <c r="M227" s="146"/>
      <c r="N227" s="146"/>
      <c r="O227" s="146"/>
      <c r="P227" s="146"/>
      <c r="Q227" s="146"/>
      <c r="R227" s="146"/>
      <c r="S227" s="146"/>
      <c r="T227" s="146"/>
      <c r="U227" s="146"/>
      <c r="V227" s="146"/>
      <c r="W227" s="146"/>
      <c r="X227" s="146"/>
      <c r="Y227" s="146"/>
      <c r="Z227" s="146"/>
      <c r="AA227" s="146"/>
      <c r="AB227" s="146"/>
      <c r="AC227" s="146"/>
      <c r="AD227" s="146"/>
      <c r="AE227" s="146"/>
      <c r="AF227" s="146"/>
      <c r="AG227" s="146"/>
      <c r="AH227" s="146"/>
      <c r="AI227" s="146"/>
      <c r="AJ227" s="146"/>
      <c r="AK227" s="146"/>
      <c r="AL227" s="146"/>
      <c r="AM227" s="146"/>
      <c r="AN227" s="146"/>
      <c r="AO227" s="146"/>
      <c r="AP227" s="146"/>
      <c r="AQ227" s="146"/>
      <c r="AR227" s="146"/>
      <c r="AS227" s="146"/>
      <c r="AT227" s="146"/>
      <c r="AU227" s="146"/>
      <c r="AV227" s="146"/>
      <c r="AW227" s="146"/>
      <c r="AX227" s="146"/>
      <c r="AY227" s="146"/>
    </row>
    <row r="228" spans="3:51" ht="13.5" customHeight="1">
      <c r="C228" s="377"/>
      <c r="D228" s="377"/>
      <c r="E228" s="146"/>
      <c r="F228" s="146"/>
      <c r="G228" s="146"/>
      <c r="H228" s="146"/>
      <c r="I228" s="146"/>
      <c r="J228" s="146"/>
      <c r="K228" s="146"/>
      <c r="L228" s="146"/>
      <c r="M228" s="146"/>
      <c r="N228" s="146"/>
      <c r="O228" s="146"/>
      <c r="P228" s="146"/>
      <c r="Q228" s="146"/>
      <c r="R228" s="146"/>
      <c r="S228" s="146"/>
      <c r="T228" s="146"/>
      <c r="U228" s="146"/>
      <c r="V228" s="146"/>
      <c r="W228" s="146"/>
      <c r="X228" s="146"/>
      <c r="Y228" s="146"/>
      <c r="Z228" s="146"/>
      <c r="AA228" s="146"/>
      <c r="AB228" s="146"/>
      <c r="AC228" s="146"/>
      <c r="AD228" s="146"/>
      <c r="AE228" s="146"/>
      <c r="AF228" s="146"/>
      <c r="AG228" s="146"/>
      <c r="AH228" s="146"/>
      <c r="AI228" s="146"/>
      <c r="AJ228" s="146"/>
      <c r="AK228" s="146"/>
      <c r="AL228" s="146"/>
      <c r="AM228" s="146"/>
      <c r="AN228" s="146"/>
      <c r="AO228" s="146"/>
      <c r="AP228" s="146"/>
      <c r="AQ228" s="146"/>
      <c r="AR228" s="146"/>
      <c r="AS228" s="146"/>
      <c r="AT228" s="146"/>
      <c r="AU228" s="146"/>
      <c r="AV228" s="146"/>
      <c r="AW228" s="146"/>
      <c r="AX228" s="146"/>
      <c r="AY228" s="146"/>
    </row>
    <row r="229" spans="3:51" ht="13.5" customHeight="1">
      <c r="C229" s="377"/>
      <c r="D229" s="377"/>
      <c r="E229" s="146"/>
      <c r="F229" s="146"/>
      <c r="G229" s="146"/>
      <c r="H229" s="146"/>
      <c r="I229" s="146"/>
      <c r="J229" s="146"/>
      <c r="K229" s="146"/>
      <c r="L229" s="146"/>
      <c r="M229" s="146"/>
      <c r="N229" s="146"/>
      <c r="O229" s="146"/>
      <c r="P229" s="146"/>
      <c r="Q229" s="146"/>
      <c r="R229" s="146"/>
      <c r="S229" s="146"/>
      <c r="T229" s="146"/>
      <c r="U229" s="146"/>
      <c r="V229" s="146"/>
      <c r="W229" s="146"/>
      <c r="X229" s="146"/>
      <c r="Y229" s="146"/>
      <c r="Z229" s="146"/>
      <c r="AA229" s="146"/>
      <c r="AB229" s="146"/>
      <c r="AC229" s="146"/>
      <c r="AD229" s="146"/>
      <c r="AE229" s="146"/>
      <c r="AF229" s="146"/>
      <c r="AG229" s="146"/>
      <c r="AH229" s="146"/>
      <c r="AI229" s="146"/>
      <c r="AJ229" s="146"/>
      <c r="AK229" s="146"/>
      <c r="AL229" s="146"/>
      <c r="AM229" s="146"/>
      <c r="AN229" s="146"/>
      <c r="AO229" s="146"/>
      <c r="AP229" s="146"/>
      <c r="AQ229" s="146"/>
      <c r="AR229" s="146"/>
      <c r="AS229" s="146"/>
      <c r="AT229" s="146"/>
      <c r="AU229" s="146"/>
      <c r="AV229" s="146"/>
      <c r="AW229" s="146"/>
      <c r="AX229" s="146"/>
      <c r="AY229" s="146"/>
    </row>
    <row r="230" spans="3:51" ht="13.5" customHeight="1">
      <c r="C230" s="377"/>
      <c r="D230" s="377"/>
      <c r="E230" s="146"/>
      <c r="F230" s="146"/>
      <c r="G230" s="146"/>
      <c r="H230" s="146"/>
      <c r="I230" s="146"/>
      <c r="J230" s="146"/>
      <c r="K230" s="146"/>
      <c r="L230" s="146"/>
      <c r="M230" s="146"/>
      <c r="N230" s="146"/>
      <c r="O230" s="146"/>
      <c r="P230" s="146"/>
      <c r="Q230" s="146"/>
      <c r="R230" s="146"/>
      <c r="S230" s="146"/>
      <c r="T230" s="146"/>
      <c r="U230" s="146"/>
      <c r="V230" s="146"/>
      <c r="W230" s="146"/>
      <c r="X230" s="146"/>
      <c r="Y230" s="146"/>
      <c r="Z230" s="146"/>
      <c r="AA230" s="146"/>
      <c r="AB230" s="146"/>
      <c r="AC230" s="146"/>
      <c r="AD230" s="146"/>
      <c r="AE230" s="146"/>
      <c r="AF230" s="146"/>
      <c r="AG230" s="146"/>
      <c r="AH230" s="146"/>
      <c r="AI230" s="146"/>
      <c r="AJ230" s="146"/>
      <c r="AK230" s="146"/>
      <c r="AL230" s="146"/>
      <c r="AM230" s="146"/>
      <c r="AN230" s="146"/>
      <c r="AO230" s="146"/>
      <c r="AP230" s="146"/>
      <c r="AQ230" s="146"/>
      <c r="AR230" s="146"/>
      <c r="AS230" s="146"/>
      <c r="AT230" s="146"/>
      <c r="AU230" s="146"/>
      <c r="AV230" s="146"/>
      <c r="AW230" s="146"/>
      <c r="AX230" s="146"/>
      <c r="AY230" s="146"/>
    </row>
    <row r="231" spans="3:51" ht="13.5" customHeight="1">
      <c r="C231" s="377"/>
      <c r="D231" s="377"/>
      <c r="E231" s="146"/>
      <c r="F231" s="146"/>
      <c r="G231" s="146"/>
      <c r="H231" s="146"/>
      <c r="I231" s="146"/>
      <c r="J231" s="146"/>
      <c r="K231" s="146"/>
      <c r="L231" s="146"/>
      <c r="M231" s="146"/>
      <c r="N231" s="146"/>
      <c r="O231" s="146"/>
      <c r="P231" s="146"/>
      <c r="Q231" s="146"/>
      <c r="R231" s="146"/>
      <c r="S231" s="146"/>
      <c r="T231" s="146"/>
      <c r="U231" s="146"/>
      <c r="V231" s="146"/>
      <c r="W231" s="146"/>
      <c r="X231" s="146"/>
      <c r="Y231" s="146"/>
      <c r="Z231" s="146"/>
      <c r="AA231" s="146"/>
      <c r="AB231" s="146"/>
      <c r="AC231" s="146"/>
      <c r="AD231" s="146"/>
      <c r="AE231" s="146"/>
      <c r="AF231" s="146"/>
      <c r="AG231" s="146"/>
      <c r="AH231" s="146"/>
      <c r="AI231" s="146"/>
      <c r="AJ231" s="146"/>
      <c r="AK231" s="146"/>
      <c r="AL231" s="146"/>
      <c r="AM231" s="146"/>
      <c r="AN231" s="146"/>
      <c r="AO231" s="146"/>
      <c r="AP231" s="146"/>
      <c r="AQ231" s="146"/>
      <c r="AR231" s="146"/>
      <c r="AS231" s="146"/>
      <c r="AT231" s="146"/>
      <c r="AU231" s="146"/>
      <c r="AV231" s="146"/>
      <c r="AW231" s="146"/>
      <c r="AX231" s="146"/>
      <c r="AY231" s="146"/>
    </row>
    <row r="232" spans="3:51" ht="13.5" customHeight="1">
      <c r="C232" s="377"/>
      <c r="D232" s="377"/>
      <c r="E232" s="146"/>
      <c r="F232" s="146"/>
      <c r="G232" s="146"/>
      <c r="H232" s="146"/>
      <c r="I232" s="146"/>
      <c r="J232" s="146"/>
      <c r="K232" s="146"/>
      <c r="L232" s="146"/>
      <c r="M232" s="146"/>
      <c r="N232" s="146"/>
      <c r="O232" s="146"/>
      <c r="P232" s="146"/>
      <c r="Q232" s="146"/>
      <c r="R232" s="146"/>
      <c r="S232" s="146"/>
      <c r="T232" s="146"/>
      <c r="U232" s="146"/>
      <c r="V232" s="146"/>
      <c r="W232" s="146"/>
      <c r="X232" s="146"/>
      <c r="Y232" s="146"/>
      <c r="Z232" s="146"/>
      <c r="AA232" s="146"/>
      <c r="AB232" s="146"/>
      <c r="AC232" s="146"/>
      <c r="AD232" s="146"/>
      <c r="AE232" s="146"/>
      <c r="AF232" s="146"/>
      <c r="AG232" s="146"/>
      <c r="AH232" s="146"/>
      <c r="AI232" s="146"/>
      <c r="AJ232" s="146"/>
      <c r="AK232" s="146"/>
      <c r="AL232" s="146"/>
      <c r="AM232" s="146"/>
      <c r="AN232" s="146"/>
      <c r="AO232" s="146"/>
      <c r="AP232" s="146"/>
      <c r="AQ232" s="146"/>
      <c r="AR232" s="146"/>
      <c r="AS232" s="146"/>
      <c r="AT232" s="146"/>
      <c r="AU232" s="146"/>
      <c r="AV232" s="146"/>
      <c r="AW232" s="146"/>
      <c r="AX232" s="146"/>
      <c r="AY232" s="146"/>
    </row>
    <row r="233" spans="3:51" ht="13.5" customHeight="1">
      <c r="C233" s="377"/>
      <c r="D233" s="377"/>
      <c r="E233" s="146"/>
      <c r="F233" s="146"/>
      <c r="G233" s="146"/>
      <c r="H233" s="146"/>
      <c r="I233" s="146"/>
      <c r="J233" s="146"/>
      <c r="K233" s="146"/>
      <c r="L233" s="146"/>
      <c r="M233" s="146"/>
      <c r="N233" s="146"/>
      <c r="O233" s="146"/>
      <c r="P233" s="146"/>
      <c r="Q233" s="146"/>
      <c r="R233" s="146"/>
      <c r="S233" s="146"/>
      <c r="T233" s="146"/>
      <c r="U233" s="146"/>
      <c r="V233" s="146"/>
      <c r="W233" s="146"/>
      <c r="X233" s="146"/>
      <c r="Y233" s="146"/>
      <c r="Z233" s="146"/>
      <c r="AA233" s="146"/>
      <c r="AB233" s="146"/>
      <c r="AC233" s="146"/>
      <c r="AD233" s="146"/>
      <c r="AE233" s="146"/>
      <c r="AF233" s="146"/>
      <c r="AG233" s="146"/>
      <c r="AH233" s="146"/>
      <c r="AI233" s="146"/>
      <c r="AJ233" s="146"/>
      <c r="AK233" s="146"/>
      <c r="AL233" s="146"/>
      <c r="AM233" s="146"/>
      <c r="AN233" s="146"/>
      <c r="AO233" s="146"/>
      <c r="AP233" s="146"/>
      <c r="AQ233" s="146"/>
      <c r="AR233" s="146"/>
      <c r="AS233" s="146"/>
      <c r="AT233" s="146"/>
      <c r="AU233" s="146"/>
      <c r="AV233" s="146"/>
      <c r="AW233" s="146"/>
      <c r="AX233" s="146"/>
      <c r="AY233" s="146"/>
    </row>
    <row r="234" spans="3:51" ht="13.5" customHeight="1">
      <c r="C234" s="377"/>
      <c r="D234" s="377"/>
      <c r="E234" s="146"/>
      <c r="F234" s="146"/>
      <c r="G234" s="146"/>
      <c r="H234" s="146"/>
      <c r="I234" s="146"/>
      <c r="J234" s="146"/>
      <c r="K234" s="146"/>
      <c r="L234" s="146"/>
      <c r="M234" s="146"/>
      <c r="N234" s="146"/>
      <c r="O234" s="146"/>
      <c r="P234" s="146"/>
      <c r="Q234" s="146"/>
      <c r="R234" s="146"/>
      <c r="S234" s="146"/>
      <c r="T234" s="146"/>
      <c r="U234" s="146"/>
      <c r="V234" s="146"/>
      <c r="W234" s="146"/>
      <c r="X234" s="146"/>
      <c r="Y234" s="146"/>
      <c r="Z234" s="146"/>
      <c r="AA234" s="146"/>
      <c r="AB234" s="146"/>
      <c r="AC234" s="146"/>
      <c r="AD234" s="146"/>
      <c r="AE234" s="146"/>
      <c r="AF234" s="146"/>
      <c r="AG234" s="146"/>
      <c r="AH234" s="146"/>
      <c r="AI234" s="146"/>
      <c r="AJ234" s="146"/>
      <c r="AK234" s="146"/>
      <c r="AL234" s="146"/>
      <c r="AM234" s="146"/>
      <c r="AN234" s="146"/>
      <c r="AO234" s="146"/>
      <c r="AP234" s="146"/>
      <c r="AQ234" s="146"/>
      <c r="AR234" s="146"/>
      <c r="AS234" s="146"/>
      <c r="AT234" s="146"/>
      <c r="AU234" s="146"/>
      <c r="AV234" s="146"/>
      <c r="AW234" s="146"/>
      <c r="AX234" s="146"/>
      <c r="AY234" s="146"/>
    </row>
    <row r="235" spans="3:51" ht="13.5" customHeight="1">
      <c r="C235" s="377"/>
      <c r="D235" s="377"/>
      <c r="E235" s="146"/>
      <c r="F235" s="146"/>
      <c r="G235" s="146"/>
      <c r="H235" s="146"/>
      <c r="I235" s="146"/>
      <c r="J235" s="146"/>
      <c r="K235" s="146"/>
      <c r="L235" s="146"/>
      <c r="M235" s="146"/>
      <c r="N235" s="146"/>
      <c r="O235" s="146"/>
      <c r="P235" s="146"/>
      <c r="Q235" s="146"/>
      <c r="R235" s="146"/>
      <c r="S235" s="146"/>
      <c r="T235" s="146"/>
      <c r="U235" s="146"/>
      <c r="V235" s="146"/>
      <c r="W235" s="146"/>
      <c r="X235" s="146"/>
      <c r="Y235" s="146"/>
      <c r="Z235" s="146"/>
      <c r="AA235" s="146"/>
      <c r="AB235" s="146"/>
      <c r="AC235" s="146"/>
      <c r="AD235" s="146"/>
      <c r="AE235" s="146"/>
      <c r="AF235" s="146"/>
      <c r="AG235" s="146"/>
      <c r="AH235" s="146"/>
      <c r="AI235" s="146"/>
      <c r="AJ235" s="146"/>
      <c r="AK235" s="146"/>
      <c r="AL235" s="146"/>
      <c r="AM235" s="146"/>
      <c r="AN235" s="146"/>
      <c r="AO235" s="146"/>
      <c r="AP235" s="146"/>
      <c r="AQ235" s="146"/>
      <c r="AR235" s="146"/>
      <c r="AS235" s="146"/>
      <c r="AT235" s="146"/>
      <c r="AU235" s="146"/>
      <c r="AV235" s="146"/>
      <c r="AW235" s="146"/>
      <c r="AX235" s="146"/>
      <c r="AY235" s="146"/>
    </row>
    <row r="236" spans="3:51" ht="13.5" customHeight="1">
      <c r="C236" s="377"/>
      <c r="D236" s="377"/>
      <c r="E236" s="146"/>
      <c r="F236" s="146"/>
      <c r="G236" s="146"/>
      <c r="H236" s="146"/>
      <c r="I236" s="146"/>
      <c r="J236" s="146"/>
      <c r="K236" s="146"/>
      <c r="L236" s="146"/>
      <c r="M236" s="146"/>
      <c r="N236" s="146"/>
      <c r="O236" s="146"/>
      <c r="P236" s="146"/>
      <c r="Q236" s="146"/>
      <c r="R236" s="146"/>
      <c r="S236" s="146"/>
      <c r="T236" s="146"/>
      <c r="U236" s="146"/>
      <c r="V236" s="146"/>
      <c r="W236" s="146"/>
      <c r="X236" s="146"/>
      <c r="Y236" s="146"/>
      <c r="Z236" s="146"/>
      <c r="AA236" s="146"/>
      <c r="AB236" s="146"/>
      <c r="AC236" s="146"/>
      <c r="AD236" s="146"/>
      <c r="AE236" s="146"/>
      <c r="AF236" s="146"/>
      <c r="AG236" s="146"/>
      <c r="AH236" s="146"/>
      <c r="AI236" s="146"/>
      <c r="AJ236" s="146"/>
      <c r="AK236" s="146"/>
      <c r="AL236" s="146"/>
      <c r="AM236" s="146"/>
      <c r="AN236" s="146"/>
      <c r="AO236" s="146"/>
      <c r="AP236" s="146"/>
      <c r="AQ236" s="146"/>
      <c r="AR236" s="146"/>
      <c r="AS236" s="146"/>
      <c r="AT236" s="146"/>
      <c r="AU236" s="146"/>
      <c r="AV236" s="146"/>
      <c r="AW236" s="146"/>
      <c r="AX236" s="146"/>
      <c r="AY236" s="146"/>
    </row>
    <row r="237" spans="3:51" ht="13.5" customHeight="1">
      <c r="C237" s="377"/>
      <c r="D237" s="377"/>
      <c r="E237" s="146"/>
      <c r="F237" s="146"/>
      <c r="G237" s="146"/>
      <c r="H237" s="146"/>
      <c r="I237" s="146"/>
      <c r="J237" s="146"/>
      <c r="K237" s="146"/>
      <c r="L237" s="146"/>
      <c r="M237" s="146"/>
      <c r="N237" s="146"/>
      <c r="O237" s="146"/>
      <c r="P237" s="146"/>
      <c r="Q237" s="146"/>
      <c r="R237" s="146"/>
      <c r="S237" s="146"/>
      <c r="T237" s="146"/>
      <c r="U237" s="146"/>
      <c r="V237" s="146"/>
      <c r="W237" s="146"/>
      <c r="X237" s="146"/>
      <c r="Y237" s="146"/>
      <c r="Z237" s="146"/>
      <c r="AA237" s="146"/>
      <c r="AB237" s="146"/>
      <c r="AC237" s="146"/>
      <c r="AD237" s="146"/>
      <c r="AE237" s="146"/>
      <c r="AF237" s="146"/>
      <c r="AG237" s="146"/>
      <c r="AH237" s="146"/>
      <c r="AI237" s="146"/>
      <c r="AJ237" s="146"/>
      <c r="AK237" s="146"/>
      <c r="AL237" s="146"/>
      <c r="AM237" s="146"/>
      <c r="AN237" s="146"/>
      <c r="AO237" s="146"/>
      <c r="AP237" s="146"/>
      <c r="AQ237" s="146"/>
      <c r="AR237" s="146"/>
      <c r="AS237" s="146"/>
      <c r="AT237" s="146"/>
      <c r="AU237" s="146"/>
      <c r="AV237" s="146"/>
      <c r="AW237" s="146"/>
      <c r="AX237" s="146"/>
      <c r="AY237" s="146"/>
    </row>
    <row r="238" spans="3:51" ht="13.5" customHeight="1">
      <c r="C238" s="377"/>
      <c r="D238" s="377"/>
      <c r="E238" s="146"/>
      <c r="F238" s="146"/>
      <c r="G238" s="146"/>
      <c r="H238" s="146"/>
      <c r="I238" s="146"/>
      <c r="J238" s="146"/>
      <c r="K238" s="146"/>
      <c r="L238" s="146"/>
      <c r="M238" s="146"/>
      <c r="N238" s="146"/>
      <c r="O238" s="146"/>
      <c r="P238" s="146"/>
      <c r="Q238" s="146"/>
      <c r="R238" s="146"/>
      <c r="S238" s="146"/>
      <c r="T238" s="146"/>
      <c r="U238" s="146"/>
      <c r="V238" s="146"/>
      <c r="W238" s="146"/>
      <c r="X238" s="146"/>
      <c r="Y238" s="146"/>
      <c r="Z238" s="146"/>
      <c r="AA238" s="146"/>
      <c r="AB238" s="146"/>
      <c r="AC238" s="146"/>
      <c r="AD238" s="146"/>
      <c r="AE238" s="146"/>
      <c r="AF238" s="146"/>
      <c r="AG238" s="146"/>
      <c r="AH238" s="146"/>
      <c r="AI238" s="146"/>
      <c r="AJ238" s="146"/>
      <c r="AK238" s="146"/>
      <c r="AL238" s="146"/>
      <c r="AM238" s="146"/>
      <c r="AN238" s="146"/>
      <c r="AO238" s="146"/>
      <c r="AP238" s="146"/>
      <c r="AQ238" s="146"/>
      <c r="AR238" s="146"/>
      <c r="AS238" s="146"/>
      <c r="AT238" s="146"/>
      <c r="AU238" s="146"/>
      <c r="AV238" s="146"/>
      <c r="AW238" s="146"/>
      <c r="AX238" s="146"/>
      <c r="AY238" s="146"/>
    </row>
    <row r="239" spans="3:51" ht="13.5" customHeight="1">
      <c r="C239" s="377"/>
      <c r="D239" s="377"/>
      <c r="E239" s="146"/>
      <c r="F239" s="146"/>
      <c r="G239" s="146"/>
      <c r="H239" s="146"/>
      <c r="I239" s="146"/>
      <c r="J239" s="146"/>
      <c r="K239" s="146"/>
      <c r="L239" s="146"/>
      <c r="M239" s="146"/>
      <c r="N239" s="146"/>
      <c r="O239" s="146"/>
      <c r="P239" s="146"/>
      <c r="Q239" s="146"/>
      <c r="R239" s="146"/>
      <c r="S239" s="146"/>
      <c r="T239" s="146"/>
      <c r="U239" s="146"/>
      <c r="V239" s="146"/>
      <c r="W239" s="146"/>
      <c r="X239" s="146"/>
      <c r="Y239" s="146"/>
      <c r="Z239" s="146"/>
      <c r="AA239" s="146"/>
      <c r="AB239" s="146"/>
      <c r="AC239" s="146"/>
      <c r="AD239" s="146"/>
      <c r="AE239" s="146"/>
      <c r="AF239" s="146"/>
      <c r="AG239" s="146"/>
      <c r="AH239" s="146"/>
      <c r="AI239" s="146"/>
      <c r="AJ239" s="146"/>
      <c r="AK239" s="146"/>
      <c r="AL239" s="146"/>
      <c r="AM239" s="146"/>
      <c r="AN239" s="146"/>
      <c r="AO239" s="146"/>
      <c r="AP239" s="146"/>
      <c r="AQ239" s="146"/>
      <c r="AR239" s="146"/>
      <c r="AS239" s="146"/>
      <c r="AT239" s="146"/>
      <c r="AU239" s="146"/>
      <c r="AV239" s="146"/>
      <c r="AW239" s="146"/>
      <c r="AX239" s="146"/>
      <c r="AY239" s="146"/>
    </row>
    <row r="240" spans="3:51" ht="13.5" customHeight="1">
      <c r="C240" s="377"/>
      <c r="D240" s="377"/>
      <c r="E240" s="146"/>
      <c r="F240" s="146"/>
      <c r="G240" s="146"/>
      <c r="H240" s="146"/>
      <c r="I240" s="146"/>
      <c r="J240" s="146"/>
      <c r="K240" s="146"/>
      <c r="L240" s="146"/>
      <c r="M240" s="146"/>
      <c r="N240" s="146"/>
      <c r="O240" s="146"/>
      <c r="P240" s="146"/>
      <c r="Q240" s="146"/>
      <c r="R240" s="146"/>
      <c r="S240" s="146"/>
      <c r="T240" s="146"/>
      <c r="U240" s="146"/>
      <c r="V240" s="146"/>
      <c r="W240" s="146"/>
      <c r="X240" s="146"/>
      <c r="Y240" s="146"/>
      <c r="Z240" s="146"/>
      <c r="AA240" s="146"/>
      <c r="AB240" s="146"/>
      <c r="AC240" s="146"/>
      <c r="AD240" s="146"/>
      <c r="AE240" s="146"/>
      <c r="AF240" s="146"/>
      <c r="AG240" s="146"/>
      <c r="AH240" s="146"/>
      <c r="AI240" s="146"/>
      <c r="AJ240" s="146"/>
      <c r="AK240" s="146"/>
      <c r="AL240" s="146"/>
      <c r="AM240" s="146"/>
      <c r="AN240" s="146"/>
      <c r="AO240" s="146"/>
      <c r="AP240" s="146"/>
      <c r="AQ240" s="146"/>
      <c r="AR240" s="146"/>
      <c r="AS240" s="146"/>
      <c r="AT240" s="146"/>
      <c r="AU240" s="146"/>
      <c r="AV240" s="146"/>
      <c r="AW240" s="146"/>
      <c r="AX240" s="146"/>
      <c r="AY240" s="146"/>
    </row>
    <row r="241" spans="3:51" ht="13.5" customHeight="1">
      <c r="C241" s="377"/>
      <c r="D241" s="377"/>
      <c r="E241" s="146"/>
      <c r="F241" s="146"/>
      <c r="G241" s="146"/>
      <c r="H241" s="146"/>
      <c r="I241" s="146"/>
      <c r="J241" s="146"/>
      <c r="K241" s="146"/>
      <c r="L241" s="146"/>
      <c r="M241" s="146"/>
      <c r="N241" s="146"/>
      <c r="O241" s="146"/>
      <c r="P241" s="146"/>
      <c r="Q241" s="146"/>
      <c r="R241" s="146"/>
      <c r="S241" s="146"/>
      <c r="T241" s="146"/>
      <c r="U241" s="146"/>
      <c r="V241" s="146"/>
      <c r="W241" s="146"/>
      <c r="X241" s="146"/>
      <c r="Y241" s="146"/>
      <c r="Z241" s="146"/>
      <c r="AA241" s="146"/>
      <c r="AB241" s="146"/>
      <c r="AC241" s="146"/>
      <c r="AD241" s="146"/>
      <c r="AE241" s="146"/>
      <c r="AF241" s="146"/>
      <c r="AG241" s="146"/>
      <c r="AH241" s="146"/>
      <c r="AI241" s="146"/>
      <c r="AJ241" s="146"/>
      <c r="AK241" s="146"/>
      <c r="AL241" s="146"/>
      <c r="AM241" s="146"/>
      <c r="AN241" s="146"/>
      <c r="AO241" s="146"/>
      <c r="AP241" s="146"/>
      <c r="AQ241" s="146"/>
      <c r="AR241" s="146"/>
      <c r="AS241" s="146"/>
      <c r="AT241" s="146"/>
      <c r="AU241" s="146"/>
      <c r="AV241" s="146"/>
      <c r="AW241" s="146"/>
      <c r="AX241" s="146"/>
      <c r="AY241" s="146"/>
    </row>
    <row r="242" spans="3:51" ht="13.5" customHeight="1">
      <c r="C242" s="377"/>
      <c r="D242" s="377"/>
      <c r="E242" s="146"/>
      <c r="F242" s="146"/>
      <c r="G242" s="146"/>
      <c r="H242" s="146"/>
      <c r="I242" s="146"/>
      <c r="J242" s="146"/>
      <c r="K242" s="146"/>
      <c r="L242" s="146"/>
      <c r="M242" s="146"/>
      <c r="N242" s="146"/>
      <c r="O242" s="146"/>
      <c r="P242" s="146"/>
      <c r="Q242" s="146"/>
      <c r="R242" s="146"/>
      <c r="S242" s="146"/>
      <c r="T242" s="146"/>
      <c r="U242" s="146"/>
      <c r="V242" s="146"/>
      <c r="W242" s="146"/>
      <c r="X242" s="146"/>
      <c r="Y242" s="146"/>
      <c r="Z242" s="146"/>
      <c r="AA242" s="146"/>
      <c r="AB242" s="146"/>
      <c r="AC242" s="146"/>
      <c r="AD242" s="146"/>
      <c r="AE242" s="146"/>
      <c r="AF242" s="146"/>
      <c r="AG242" s="146"/>
      <c r="AH242" s="146"/>
      <c r="AI242" s="146"/>
      <c r="AJ242" s="146"/>
      <c r="AK242" s="146"/>
      <c r="AL242" s="146"/>
      <c r="AM242" s="146"/>
      <c r="AN242" s="146"/>
      <c r="AO242" s="146"/>
      <c r="AP242" s="146"/>
      <c r="AQ242" s="146"/>
      <c r="AR242" s="146"/>
      <c r="AS242" s="146"/>
      <c r="AT242" s="146"/>
      <c r="AU242" s="146"/>
      <c r="AV242" s="146"/>
      <c r="AW242" s="146"/>
      <c r="AX242" s="146"/>
      <c r="AY242" s="146"/>
    </row>
    <row r="243" spans="3:51" ht="13.5" customHeight="1">
      <c r="C243" s="377"/>
      <c r="D243" s="377"/>
      <c r="E243" s="146"/>
      <c r="F243" s="146"/>
      <c r="G243" s="146"/>
      <c r="H243" s="146"/>
      <c r="I243" s="146"/>
      <c r="J243" s="146"/>
      <c r="K243" s="146"/>
      <c r="L243" s="146"/>
      <c r="M243" s="146"/>
      <c r="N243" s="146"/>
      <c r="O243" s="146"/>
      <c r="P243" s="146"/>
      <c r="Q243" s="146"/>
      <c r="R243" s="146"/>
      <c r="S243" s="146"/>
      <c r="T243" s="146"/>
      <c r="U243" s="146"/>
      <c r="V243" s="146"/>
      <c r="W243" s="146"/>
      <c r="X243" s="146"/>
      <c r="Y243" s="146"/>
      <c r="Z243" s="146"/>
      <c r="AA243" s="146"/>
      <c r="AB243" s="146"/>
      <c r="AC243" s="146"/>
      <c r="AD243" s="146"/>
      <c r="AE243" s="146"/>
      <c r="AF243" s="146"/>
      <c r="AG243" s="146"/>
      <c r="AH243" s="146"/>
      <c r="AI243" s="146"/>
      <c r="AJ243" s="146"/>
      <c r="AK243" s="146"/>
      <c r="AL243" s="146"/>
      <c r="AM243" s="146"/>
      <c r="AN243" s="146"/>
      <c r="AO243" s="146"/>
      <c r="AP243" s="146"/>
      <c r="AQ243" s="146"/>
      <c r="AR243" s="146"/>
      <c r="AS243" s="146"/>
      <c r="AT243" s="146"/>
      <c r="AU243" s="146"/>
      <c r="AV243" s="146"/>
      <c r="AW243" s="146"/>
      <c r="AX243" s="146"/>
      <c r="AY243" s="146"/>
    </row>
    <row r="244" spans="3:51" ht="13.5" customHeight="1">
      <c r="C244" s="377"/>
      <c r="D244" s="377"/>
      <c r="E244" s="146"/>
      <c r="F244" s="146"/>
      <c r="G244" s="146"/>
      <c r="H244" s="146"/>
      <c r="I244" s="146"/>
      <c r="J244" s="146"/>
      <c r="K244" s="146"/>
      <c r="L244" s="146"/>
      <c r="M244" s="146"/>
      <c r="N244" s="146"/>
      <c r="O244" s="146"/>
      <c r="P244" s="146"/>
      <c r="Q244" s="146"/>
      <c r="R244" s="146"/>
      <c r="S244" s="146"/>
      <c r="T244" s="146"/>
      <c r="U244" s="146"/>
      <c r="V244" s="146"/>
      <c r="W244" s="146"/>
      <c r="X244" s="146"/>
      <c r="Y244" s="146"/>
      <c r="Z244" s="146"/>
      <c r="AA244" s="146"/>
      <c r="AB244" s="146"/>
      <c r="AC244" s="146"/>
      <c r="AD244" s="146"/>
      <c r="AE244" s="146"/>
      <c r="AF244" s="146"/>
      <c r="AG244" s="146"/>
      <c r="AH244" s="146"/>
      <c r="AI244" s="146"/>
      <c r="AJ244" s="146"/>
      <c r="AK244" s="146"/>
      <c r="AL244" s="146"/>
      <c r="AM244" s="146"/>
      <c r="AN244" s="146"/>
      <c r="AO244" s="146"/>
      <c r="AP244" s="146"/>
      <c r="AQ244" s="146"/>
      <c r="AR244" s="146"/>
      <c r="AS244" s="146"/>
      <c r="AT244" s="146"/>
      <c r="AU244" s="146"/>
      <c r="AV244" s="146"/>
      <c r="AW244" s="146"/>
      <c r="AX244" s="146"/>
      <c r="AY244" s="146"/>
    </row>
    <row r="245" spans="3:51" ht="13.5" customHeight="1">
      <c r="C245" s="377"/>
      <c r="D245" s="377"/>
      <c r="E245" s="146"/>
      <c r="F245" s="146"/>
      <c r="G245" s="146"/>
      <c r="H245" s="146"/>
      <c r="I245" s="146"/>
      <c r="J245" s="146"/>
      <c r="K245" s="146"/>
      <c r="L245" s="146"/>
      <c r="M245" s="146"/>
      <c r="N245" s="146"/>
      <c r="O245" s="146"/>
      <c r="P245" s="146"/>
      <c r="Q245" s="146"/>
      <c r="R245" s="146"/>
      <c r="S245" s="146"/>
      <c r="T245" s="146"/>
      <c r="U245" s="146"/>
      <c r="V245" s="146"/>
      <c r="W245" s="146"/>
      <c r="X245" s="146"/>
      <c r="Y245" s="146"/>
      <c r="Z245" s="146"/>
      <c r="AA245" s="146"/>
      <c r="AB245" s="146"/>
      <c r="AC245" s="146"/>
      <c r="AD245" s="146"/>
      <c r="AE245" s="146"/>
      <c r="AF245" s="146"/>
      <c r="AG245" s="146"/>
      <c r="AH245" s="146"/>
      <c r="AI245" s="146"/>
      <c r="AJ245" s="146"/>
      <c r="AK245" s="146"/>
      <c r="AL245" s="146"/>
      <c r="AM245" s="146"/>
      <c r="AN245" s="146"/>
      <c r="AO245" s="146"/>
      <c r="AP245" s="146"/>
      <c r="AQ245" s="146"/>
      <c r="AR245" s="146"/>
      <c r="AS245" s="146"/>
      <c r="AT245" s="146"/>
      <c r="AU245" s="146"/>
      <c r="AV245" s="146"/>
      <c r="AW245" s="146"/>
      <c r="AX245" s="146"/>
      <c r="AY245" s="146"/>
    </row>
    <row r="246" spans="3:51" ht="13.5" customHeight="1">
      <c r="C246" s="377"/>
      <c r="D246" s="377"/>
      <c r="E246" s="146"/>
      <c r="F246" s="146"/>
      <c r="G246" s="146"/>
      <c r="H246" s="146"/>
      <c r="I246" s="146"/>
      <c r="J246" s="146"/>
      <c r="K246" s="146"/>
      <c r="L246" s="146"/>
      <c r="M246" s="146"/>
      <c r="N246" s="146"/>
      <c r="O246" s="146"/>
      <c r="P246" s="146"/>
      <c r="Q246" s="146"/>
      <c r="R246" s="146"/>
      <c r="S246" s="146"/>
      <c r="T246" s="146"/>
      <c r="U246" s="146"/>
      <c r="V246" s="146"/>
      <c r="W246" s="146"/>
      <c r="X246" s="146"/>
      <c r="Y246" s="146"/>
      <c r="Z246" s="146"/>
      <c r="AA246" s="146"/>
      <c r="AB246" s="146"/>
      <c r="AC246" s="146"/>
      <c r="AD246" s="146"/>
      <c r="AE246" s="146"/>
      <c r="AF246" s="146"/>
      <c r="AG246" s="146"/>
      <c r="AH246" s="146"/>
      <c r="AI246" s="146"/>
      <c r="AJ246" s="146"/>
      <c r="AK246" s="146"/>
      <c r="AL246" s="146"/>
      <c r="AM246" s="146"/>
      <c r="AN246" s="146"/>
      <c r="AO246" s="146"/>
      <c r="AP246" s="146"/>
      <c r="AQ246" s="146"/>
      <c r="AR246" s="146"/>
      <c r="AS246" s="146"/>
      <c r="AT246" s="146"/>
      <c r="AU246" s="146"/>
      <c r="AV246" s="146"/>
      <c r="AW246" s="146"/>
      <c r="AX246" s="146"/>
      <c r="AY246" s="146"/>
    </row>
    <row r="247" spans="3:51" ht="13.5" customHeight="1">
      <c r="C247" s="377"/>
      <c r="D247" s="377"/>
      <c r="E247" s="146"/>
      <c r="F247" s="146"/>
      <c r="G247" s="146"/>
      <c r="H247" s="146"/>
      <c r="I247" s="146"/>
      <c r="J247" s="146"/>
      <c r="K247" s="146"/>
      <c r="L247" s="146"/>
      <c r="M247" s="146"/>
      <c r="N247" s="146"/>
      <c r="O247" s="146"/>
      <c r="P247" s="146"/>
      <c r="Q247" s="146"/>
      <c r="R247" s="146"/>
      <c r="S247" s="146"/>
      <c r="T247" s="146"/>
      <c r="U247" s="146"/>
      <c r="V247" s="146"/>
      <c r="W247" s="146"/>
      <c r="X247" s="146"/>
      <c r="Y247" s="146"/>
      <c r="Z247" s="146"/>
      <c r="AA247" s="146"/>
      <c r="AB247" s="146"/>
      <c r="AC247" s="146"/>
      <c r="AD247" s="146"/>
      <c r="AE247" s="146"/>
      <c r="AF247" s="146"/>
      <c r="AG247" s="146"/>
      <c r="AH247" s="146"/>
      <c r="AI247" s="146"/>
      <c r="AJ247" s="146"/>
      <c r="AK247" s="146"/>
      <c r="AL247" s="146"/>
      <c r="AM247" s="146"/>
      <c r="AN247" s="146"/>
      <c r="AO247" s="146"/>
      <c r="AP247" s="146"/>
      <c r="AQ247" s="146"/>
      <c r="AR247" s="146"/>
      <c r="AS247" s="146"/>
      <c r="AT247" s="146"/>
      <c r="AU247" s="146"/>
      <c r="AV247" s="146"/>
      <c r="AW247" s="146"/>
      <c r="AX247" s="146"/>
      <c r="AY247" s="146"/>
    </row>
    <row r="248" spans="3:51" ht="13.5" customHeight="1">
      <c r="C248" s="377"/>
      <c r="D248" s="377"/>
      <c r="E248" s="146"/>
      <c r="F248" s="146"/>
      <c r="G248" s="146"/>
      <c r="H248" s="146"/>
      <c r="I248" s="146"/>
      <c r="J248" s="146"/>
      <c r="K248" s="146"/>
      <c r="L248" s="146"/>
      <c r="M248" s="146"/>
      <c r="N248" s="146"/>
      <c r="O248" s="146"/>
      <c r="P248" s="146"/>
      <c r="Q248" s="146"/>
      <c r="R248" s="146"/>
      <c r="S248" s="146"/>
      <c r="T248" s="146"/>
      <c r="U248" s="146"/>
      <c r="V248" s="146"/>
      <c r="W248" s="146"/>
      <c r="X248" s="146"/>
      <c r="Y248" s="146"/>
      <c r="Z248" s="146"/>
      <c r="AA248" s="146"/>
      <c r="AB248" s="146"/>
      <c r="AC248" s="146"/>
      <c r="AD248" s="146"/>
      <c r="AE248" s="146"/>
      <c r="AF248" s="146"/>
      <c r="AG248" s="146"/>
      <c r="AH248" s="146"/>
      <c r="AI248" s="146"/>
      <c r="AJ248" s="146"/>
      <c r="AK248" s="146"/>
      <c r="AL248" s="146"/>
      <c r="AM248" s="146"/>
      <c r="AN248" s="146"/>
      <c r="AO248" s="146"/>
      <c r="AP248" s="146"/>
      <c r="AQ248" s="146"/>
      <c r="AR248" s="146"/>
      <c r="AS248" s="146"/>
      <c r="AT248" s="146"/>
      <c r="AU248" s="146"/>
      <c r="AV248" s="146"/>
      <c r="AW248" s="146"/>
      <c r="AX248" s="146"/>
      <c r="AY248" s="146"/>
    </row>
    <row r="249" spans="3:51" ht="13.5" customHeight="1">
      <c r="C249" s="377"/>
      <c r="D249" s="377"/>
      <c r="E249" s="146"/>
      <c r="F249" s="146"/>
      <c r="G249" s="146"/>
      <c r="H249" s="146"/>
      <c r="I249" s="146"/>
      <c r="J249" s="146"/>
      <c r="K249" s="146"/>
      <c r="L249" s="146"/>
      <c r="M249" s="146"/>
      <c r="N249" s="146"/>
      <c r="O249" s="146"/>
      <c r="P249" s="146"/>
      <c r="Q249" s="146"/>
      <c r="R249" s="146"/>
      <c r="S249" s="146"/>
      <c r="T249" s="146"/>
      <c r="U249" s="146"/>
      <c r="V249" s="146"/>
      <c r="W249" s="146"/>
      <c r="X249" s="146"/>
      <c r="Y249" s="146"/>
      <c r="Z249" s="146"/>
      <c r="AA249" s="146"/>
      <c r="AB249" s="146"/>
      <c r="AC249" s="146"/>
      <c r="AD249" s="146"/>
      <c r="AE249" s="146"/>
      <c r="AF249" s="146"/>
      <c r="AG249" s="146"/>
      <c r="AH249" s="146"/>
      <c r="AI249" s="146"/>
      <c r="AJ249" s="146"/>
      <c r="AK249" s="146"/>
      <c r="AL249" s="146"/>
      <c r="AM249" s="146"/>
      <c r="AN249" s="146"/>
      <c r="AO249" s="146"/>
      <c r="AP249" s="146"/>
      <c r="AQ249" s="146"/>
      <c r="AR249" s="146"/>
      <c r="AS249" s="146"/>
      <c r="AT249" s="146"/>
      <c r="AU249" s="146"/>
      <c r="AV249" s="146"/>
      <c r="AW249" s="146"/>
      <c r="AX249" s="146"/>
      <c r="AY249" s="146"/>
    </row>
    <row r="250" spans="3:51" ht="13.5" customHeight="1">
      <c r="C250" s="377"/>
      <c r="D250" s="377"/>
      <c r="E250" s="146"/>
      <c r="F250" s="146"/>
      <c r="G250" s="146"/>
      <c r="H250" s="146"/>
      <c r="I250" s="146"/>
      <c r="J250" s="146"/>
      <c r="K250" s="146"/>
      <c r="L250" s="146"/>
      <c r="M250" s="146"/>
      <c r="N250" s="146"/>
      <c r="O250" s="146"/>
      <c r="P250" s="146"/>
      <c r="Q250" s="146"/>
      <c r="R250" s="146"/>
      <c r="S250" s="146"/>
      <c r="T250" s="146"/>
      <c r="U250" s="146"/>
      <c r="V250" s="146"/>
      <c r="W250" s="146"/>
      <c r="X250" s="146"/>
      <c r="Y250" s="146"/>
      <c r="Z250" s="146"/>
      <c r="AA250" s="146"/>
      <c r="AB250" s="146"/>
      <c r="AC250" s="146"/>
      <c r="AD250" s="146"/>
      <c r="AE250" s="146"/>
      <c r="AF250" s="146"/>
      <c r="AG250" s="146"/>
      <c r="AH250" s="146"/>
      <c r="AI250" s="146"/>
      <c r="AJ250" s="146"/>
      <c r="AK250" s="146"/>
      <c r="AL250" s="146"/>
      <c r="AM250" s="146"/>
      <c r="AN250" s="146"/>
      <c r="AO250" s="146"/>
      <c r="AP250" s="146"/>
      <c r="AQ250" s="146"/>
      <c r="AR250" s="146"/>
      <c r="AS250" s="146"/>
      <c r="AT250" s="146"/>
      <c r="AU250" s="146"/>
      <c r="AV250" s="146"/>
      <c r="AW250" s="146"/>
      <c r="AX250" s="146"/>
      <c r="AY250" s="146"/>
    </row>
    <row r="251" spans="3:51" ht="13.5" customHeight="1">
      <c r="C251" s="377"/>
      <c r="D251" s="377"/>
      <c r="E251" s="146"/>
      <c r="F251" s="146"/>
      <c r="G251" s="146"/>
      <c r="H251" s="146"/>
      <c r="I251" s="146"/>
      <c r="J251" s="146"/>
      <c r="K251" s="146"/>
      <c r="L251" s="146"/>
      <c r="M251" s="146"/>
      <c r="N251" s="146"/>
      <c r="O251" s="146"/>
      <c r="P251" s="146"/>
      <c r="Q251" s="146"/>
      <c r="R251" s="146"/>
      <c r="S251" s="146"/>
      <c r="T251" s="146"/>
      <c r="U251" s="146"/>
      <c r="V251" s="146"/>
      <c r="W251" s="146"/>
      <c r="X251" s="146"/>
      <c r="Y251" s="146"/>
      <c r="Z251" s="146"/>
      <c r="AA251" s="146"/>
      <c r="AB251" s="146"/>
      <c r="AC251" s="146"/>
      <c r="AD251" s="146"/>
      <c r="AE251" s="146"/>
      <c r="AF251" s="146"/>
      <c r="AG251" s="146"/>
      <c r="AH251" s="146"/>
      <c r="AI251" s="146"/>
      <c r="AJ251" s="146"/>
      <c r="AK251" s="146"/>
      <c r="AL251" s="146"/>
      <c r="AM251" s="146"/>
      <c r="AN251" s="146"/>
      <c r="AO251" s="146"/>
      <c r="AP251" s="146"/>
      <c r="AQ251" s="146"/>
      <c r="AR251" s="146"/>
      <c r="AS251" s="146"/>
      <c r="AT251" s="146"/>
      <c r="AU251" s="146"/>
      <c r="AV251" s="146"/>
      <c r="AW251" s="146"/>
      <c r="AX251" s="146"/>
      <c r="AY251" s="146"/>
    </row>
    <row r="252" spans="3:51" ht="13.5" customHeight="1">
      <c r="C252" s="377"/>
      <c r="D252" s="377"/>
      <c r="E252" s="146"/>
      <c r="F252" s="146"/>
      <c r="G252" s="146"/>
      <c r="H252" s="146"/>
      <c r="I252" s="146"/>
      <c r="J252" s="146"/>
      <c r="K252" s="146"/>
      <c r="L252" s="146"/>
      <c r="M252" s="146"/>
      <c r="N252" s="146"/>
      <c r="O252" s="146"/>
      <c r="P252" s="146"/>
      <c r="Q252" s="146"/>
      <c r="R252" s="146"/>
      <c r="S252" s="146"/>
      <c r="T252" s="146"/>
      <c r="U252" s="146"/>
      <c r="V252" s="146"/>
      <c r="W252" s="146"/>
      <c r="X252" s="146"/>
      <c r="Y252" s="146"/>
      <c r="Z252" s="146"/>
      <c r="AA252" s="146"/>
      <c r="AB252" s="146"/>
      <c r="AC252" s="146"/>
      <c r="AD252" s="146"/>
      <c r="AE252" s="146"/>
      <c r="AF252" s="146"/>
      <c r="AG252" s="146"/>
      <c r="AH252" s="146"/>
      <c r="AI252" s="146"/>
      <c r="AJ252" s="146"/>
      <c r="AK252" s="146"/>
      <c r="AL252" s="146"/>
      <c r="AM252" s="146"/>
      <c r="AN252" s="146"/>
      <c r="AO252" s="146"/>
      <c r="AP252" s="146"/>
      <c r="AQ252" s="146"/>
      <c r="AR252" s="146"/>
      <c r="AS252" s="146"/>
      <c r="AT252" s="146"/>
      <c r="AU252" s="146"/>
      <c r="AV252" s="146"/>
      <c r="AW252" s="146"/>
      <c r="AX252" s="146"/>
      <c r="AY252" s="146"/>
    </row>
    <row r="253" spans="3:51" ht="13.5" customHeight="1">
      <c r="C253" s="377"/>
      <c r="D253" s="377"/>
      <c r="E253" s="146"/>
      <c r="F253" s="146"/>
      <c r="G253" s="146"/>
      <c r="H253" s="146"/>
      <c r="I253" s="146"/>
      <c r="J253" s="146"/>
      <c r="K253" s="146"/>
      <c r="L253" s="146"/>
      <c r="M253" s="146"/>
      <c r="N253" s="146"/>
      <c r="O253" s="146"/>
      <c r="P253" s="146"/>
      <c r="Q253" s="146"/>
      <c r="R253" s="146"/>
      <c r="S253" s="146"/>
      <c r="T253" s="146"/>
      <c r="U253" s="146"/>
      <c r="V253" s="146"/>
      <c r="W253" s="146"/>
      <c r="X253" s="146"/>
      <c r="Y253" s="146"/>
      <c r="Z253" s="146"/>
      <c r="AA253" s="146"/>
      <c r="AB253" s="146"/>
      <c r="AC253" s="146"/>
      <c r="AD253" s="146"/>
      <c r="AE253" s="146"/>
      <c r="AF253" s="146"/>
      <c r="AG253" s="146"/>
      <c r="AH253" s="146"/>
      <c r="AI253" s="146"/>
      <c r="AJ253" s="146"/>
      <c r="AK253" s="146"/>
      <c r="AL253" s="146"/>
      <c r="AM253" s="146"/>
      <c r="AN253" s="146"/>
      <c r="AO253" s="146"/>
      <c r="AP253" s="146"/>
      <c r="AQ253" s="146"/>
      <c r="AR253" s="146"/>
      <c r="AS253" s="146"/>
      <c r="AT253" s="146"/>
      <c r="AU253" s="146"/>
      <c r="AV253" s="146"/>
      <c r="AW253" s="146"/>
      <c r="AX253" s="146"/>
      <c r="AY253" s="146"/>
    </row>
    <row r="254" spans="3:51" ht="13.5" customHeight="1">
      <c r="C254" s="377"/>
      <c r="D254" s="377"/>
      <c r="E254" s="146"/>
      <c r="F254" s="146"/>
      <c r="G254" s="146"/>
      <c r="H254" s="146"/>
      <c r="I254" s="146"/>
      <c r="J254" s="146"/>
      <c r="K254" s="146"/>
      <c r="L254" s="146"/>
      <c r="M254" s="146"/>
      <c r="N254" s="146"/>
      <c r="O254" s="146"/>
      <c r="P254" s="146"/>
      <c r="Q254" s="146"/>
      <c r="R254" s="146"/>
      <c r="S254" s="146"/>
      <c r="T254" s="146"/>
      <c r="U254" s="146"/>
      <c r="V254" s="146"/>
      <c r="W254" s="146"/>
      <c r="X254" s="146"/>
      <c r="Y254" s="146"/>
      <c r="Z254" s="146"/>
      <c r="AA254" s="146"/>
      <c r="AB254" s="146"/>
      <c r="AC254" s="146"/>
      <c r="AD254" s="146"/>
      <c r="AE254" s="146"/>
      <c r="AF254" s="146"/>
      <c r="AG254" s="146"/>
      <c r="AH254" s="146"/>
      <c r="AI254" s="146"/>
      <c r="AJ254" s="146"/>
      <c r="AK254" s="146"/>
      <c r="AL254" s="146"/>
      <c r="AM254" s="146"/>
      <c r="AN254" s="146"/>
      <c r="AO254" s="146"/>
      <c r="AP254" s="146"/>
      <c r="AQ254" s="146"/>
      <c r="AR254" s="146"/>
      <c r="AS254" s="146"/>
      <c r="AT254" s="146"/>
      <c r="AU254" s="146"/>
      <c r="AV254" s="146"/>
      <c r="AW254" s="146"/>
      <c r="AX254" s="146"/>
      <c r="AY254" s="146"/>
    </row>
    <row r="255" spans="3:51" ht="13.5" customHeight="1">
      <c r="C255" s="377"/>
      <c r="D255" s="377"/>
      <c r="E255" s="146"/>
      <c r="F255" s="146"/>
      <c r="G255" s="146"/>
      <c r="H255" s="146"/>
      <c r="I255" s="146"/>
      <c r="J255" s="146"/>
      <c r="K255" s="146"/>
      <c r="L255" s="146"/>
      <c r="M255" s="146"/>
      <c r="N255" s="146"/>
      <c r="O255" s="146"/>
      <c r="P255" s="146"/>
      <c r="Q255" s="146"/>
      <c r="R255" s="146"/>
      <c r="S255" s="146"/>
      <c r="T255" s="146"/>
      <c r="U255" s="146"/>
      <c r="V255" s="146"/>
      <c r="W255" s="146"/>
      <c r="X255" s="146"/>
      <c r="Y255" s="146"/>
      <c r="Z255" s="146"/>
      <c r="AA255" s="146"/>
      <c r="AB255" s="146"/>
      <c r="AC255" s="146"/>
      <c r="AD255" s="146"/>
      <c r="AE255" s="146"/>
      <c r="AF255" s="146"/>
      <c r="AG255" s="146"/>
      <c r="AH255" s="146"/>
      <c r="AI255" s="146"/>
      <c r="AJ255" s="146"/>
      <c r="AK255" s="146"/>
      <c r="AL255" s="146"/>
      <c r="AM255" s="146"/>
      <c r="AN255" s="146"/>
      <c r="AO255" s="146"/>
      <c r="AP255" s="146"/>
      <c r="AQ255" s="146"/>
      <c r="AR255" s="146"/>
      <c r="AS255" s="146"/>
      <c r="AT255" s="146"/>
      <c r="AU255" s="146"/>
      <c r="AV255" s="146"/>
      <c r="AW255" s="146"/>
      <c r="AX255" s="146"/>
      <c r="AY255" s="146"/>
    </row>
    <row r="256" spans="3:51" ht="13.5" customHeight="1">
      <c r="C256" s="377"/>
      <c r="D256" s="377"/>
      <c r="E256" s="146"/>
      <c r="F256" s="146"/>
      <c r="G256" s="146"/>
      <c r="H256" s="146"/>
      <c r="I256" s="146"/>
      <c r="J256" s="146"/>
      <c r="K256" s="146"/>
      <c r="L256" s="146"/>
      <c r="M256" s="146"/>
      <c r="N256" s="146"/>
      <c r="O256" s="146"/>
      <c r="P256" s="146"/>
      <c r="Q256" s="146"/>
      <c r="R256" s="146"/>
      <c r="S256" s="146"/>
      <c r="T256" s="146"/>
      <c r="U256" s="146"/>
      <c r="V256" s="146"/>
      <c r="W256" s="146"/>
      <c r="X256" s="146"/>
      <c r="Y256" s="146"/>
      <c r="Z256" s="146"/>
      <c r="AA256" s="146"/>
      <c r="AB256" s="146"/>
      <c r="AC256" s="146"/>
      <c r="AD256" s="146"/>
      <c r="AE256" s="146"/>
      <c r="AF256" s="146"/>
      <c r="AG256" s="146"/>
      <c r="AH256" s="146"/>
      <c r="AI256" s="146"/>
      <c r="AJ256" s="146"/>
      <c r="AK256" s="146"/>
      <c r="AL256" s="146"/>
      <c r="AM256" s="146"/>
      <c r="AN256" s="146"/>
      <c r="AO256" s="146"/>
      <c r="AP256" s="146"/>
      <c r="AQ256" s="146"/>
      <c r="AR256" s="146"/>
      <c r="AS256" s="146"/>
      <c r="AT256" s="146"/>
      <c r="AU256" s="146"/>
      <c r="AV256" s="146"/>
      <c r="AW256" s="146"/>
      <c r="AX256" s="146"/>
      <c r="AY256" s="146"/>
    </row>
    <row r="257" spans="3:51" ht="13.5" customHeight="1">
      <c r="C257" s="377"/>
      <c r="D257" s="377"/>
      <c r="E257" s="146"/>
      <c r="F257" s="146"/>
      <c r="G257" s="146"/>
      <c r="H257" s="146"/>
      <c r="I257" s="146"/>
      <c r="J257" s="146"/>
      <c r="K257" s="146"/>
      <c r="L257" s="146"/>
      <c r="M257" s="146"/>
      <c r="N257" s="146"/>
      <c r="O257" s="146"/>
      <c r="P257" s="146"/>
      <c r="Q257" s="146"/>
      <c r="R257" s="146"/>
      <c r="S257" s="146"/>
      <c r="T257" s="146"/>
      <c r="U257" s="146"/>
      <c r="V257" s="146"/>
      <c r="W257" s="146"/>
      <c r="X257" s="146"/>
      <c r="Y257" s="146"/>
      <c r="Z257" s="146"/>
      <c r="AA257" s="146"/>
      <c r="AB257" s="146"/>
      <c r="AC257" s="146"/>
      <c r="AD257" s="146"/>
      <c r="AE257" s="146"/>
      <c r="AF257" s="146"/>
      <c r="AG257" s="146"/>
      <c r="AH257" s="146"/>
      <c r="AI257" s="146"/>
      <c r="AJ257" s="146"/>
      <c r="AK257" s="146"/>
      <c r="AL257" s="146"/>
      <c r="AM257" s="146"/>
      <c r="AN257" s="146"/>
      <c r="AO257" s="146"/>
      <c r="AP257" s="146"/>
      <c r="AQ257" s="146"/>
      <c r="AR257" s="146"/>
      <c r="AS257" s="146"/>
      <c r="AT257" s="146"/>
      <c r="AU257" s="146"/>
      <c r="AV257" s="146"/>
      <c r="AW257" s="146"/>
      <c r="AX257" s="146"/>
      <c r="AY257" s="146"/>
    </row>
    <row r="258" spans="3:51" ht="13.5" customHeight="1">
      <c r="C258" s="377"/>
      <c r="D258" s="377"/>
      <c r="E258" s="146"/>
      <c r="F258" s="146"/>
      <c r="G258" s="146"/>
      <c r="H258" s="146"/>
      <c r="I258" s="146"/>
      <c r="J258" s="146"/>
      <c r="K258" s="146"/>
      <c r="L258" s="146"/>
      <c r="M258" s="146"/>
      <c r="N258" s="146"/>
      <c r="O258" s="146"/>
      <c r="P258" s="146"/>
      <c r="Q258" s="146"/>
      <c r="R258" s="146"/>
      <c r="S258" s="146"/>
      <c r="T258" s="146"/>
      <c r="U258" s="146"/>
      <c r="V258" s="146"/>
      <c r="W258" s="146"/>
      <c r="X258" s="146"/>
      <c r="Y258" s="146"/>
      <c r="Z258" s="146"/>
      <c r="AA258" s="146"/>
      <c r="AB258" s="146"/>
      <c r="AC258" s="146"/>
      <c r="AD258" s="146"/>
      <c r="AE258" s="146"/>
      <c r="AF258" s="146"/>
      <c r="AG258" s="146"/>
      <c r="AH258" s="146"/>
      <c r="AI258" s="146"/>
      <c r="AJ258" s="146"/>
      <c r="AK258" s="146"/>
      <c r="AL258" s="146"/>
      <c r="AM258" s="146"/>
      <c r="AN258" s="146"/>
      <c r="AO258" s="146"/>
      <c r="AP258" s="146"/>
      <c r="AQ258" s="146"/>
      <c r="AR258" s="146"/>
      <c r="AS258" s="146"/>
      <c r="AT258" s="146"/>
      <c r="AU258" s="146"/>
      <c r="AV258" s="146"/>
      <c r="AW258" s="146"/>
      <c r="AX258" s="146"/>
      <c r="AY258" s="146"/>
    </row>
    <row r="259" spans="3:51" ht="13.5" customHeight="1">
      <c r="C259" s="377"/>
      <c r="D259" s="377"/>
      <c r="E259" s="146"/>
      <c r="F259" s="146"/>
      <c r="G259" s="146"/>
      <c r="H259" s="146"/>
      <c r="I259" s="146"/>
      <c r="J259" s="146"/>
      <c r="K259" s="146"/>
      <c r="L259" s="146"/>
      <c r="M259" s="146"/>
      <c r="N259" s="146"/>
      <c r="O259" s="146"/>
      <c r="P259" s="146"/>
      <c r="Q259" s="146"/>
      <c r="R259" s="146"/>
      <c r="S259" s="146"/>
      <c r="T259" s="146"/>
      <c r="U259" s="146"/>
      <c r="V259" s="146"/>
      <c r="W259" s="146"/>
      <c r="X259" s="146"/>
      <c r="Y259" s="146"/>
      <c r="Z259" s="146"/>
      <c r="AA259" s="146"/>
      <c r="AB259" s="146"/>
      <c r="AC259" s="146"/>
      <c r="AD259" s="146"/>
      <c r="AE259" s="146"/>
      <c r="AF259" s="146"/>
      <c r="AG259" s="146"/>
      <c r="AH259" s="146"/>
      <c r="AI259" s="146"/>
      <c r="AJ259" s="146"/>
      <c r="AK259" s="146"/>
      <c r="AL259" s="146"/>
      <c r="AM259" s="146"/>
      <c r="AN259" s="146"/>
      <c r="AO259" s="146"/>
      <c r="AP259" s="146"/>
      <c r="AQ259" s="146"/>
      <c r="AR259" s="146"/>
      <c r="AS259" s="146"/>
      <c r="AT259" s="146"/>
      <c r="AU259" s="146"/>
      <c r="AV259" s="146"/>
      <c r="AW259" s="146"/>
      <c r="AX259" s="146"/>
      <c r="AY259" s="146"/>
    </row>
    <row r="260" spans="3:51" ht="13.5" customHeight="1">
      <c r="C260" s="377"/>
      <c r="D260" s="377"/>
      <c r="E260" s="146"/>
      <c r="F260" s="146"/>
      <c r="G260" s="146"/>
      <c r="H260" s="146"/>
      <c r="I260" s="146"/>
      <c r="J260" s="146"/>
      <c r="K260" s="146"/>
      <c r="L260" s="146"/>
      <c r="M260" s="146"/>
      <c r="N260" s="146"/>
      <c r="O260" s="146"/>
      <c r="P260" s="146"/>
      <c r="Q260" s="146"/>
      <c r="R260" s="146"/>
      <c r="S260" s="146"/>
      <c r="T260" s="146"/>
      <c r="U260" s="146"/>
      <c r="V260" s="146"/>
      <c r="W260" s="146"/>
      <c r="X260" s="146"/>
      <c r="Y260" s="146"/>
      <c r="Z260" s="146"/>
      <c r="AA260" s="146"/>
      <c r="AB260" s="146"/>
      <c r="AC260" s="146"/>
      <c r="AD260" s="146"/>
      <c r="AE260" s="146"/>
      <c r="AF260" s="146"/>
      <c r="AG260" s="146"/>
      <c r="AH260" s="146"/>
      <c r="AI260" s="146"/>
      <c r="AJ260" s="146"/>
      <c r="AK260" s="146"/>
      <c r="AL260" s="146"/>
      <c r="AM260" s="146"/>
      <c r="AN260" s="146"/>
      <c r="AO260" s="146"/>
      <c r="AP260" s="146"/>
      <c r="AQ260" s="146"/>
      <c r="AR260" s="146"/>
      <c r="AS260" s="146"/>
      <c r="AT260" s="146"/>
      <c r="AU260" s="146"/>
      <c r="AV260" s="146"/>
      <c r="AW260" s="146"/>
      <c r="AX260" s="146"/>
      <c r="AY260" s="146"/>
    </row>
    <row r="261" spans="3:51" ht="13.5" customHeight="1">
      <c r="C261" s="377"/>
      <c r="D261" s="377"/>
      <c r="E261" s="146"/>
      <c r="F261" s="146"/>
      <c r="G261" s="146"/>
      <c r="H261" s="146"/>
      <c r="I261" s="146"/>
      <c r="J261" s="146"/>
      <c r="K261" s="146"/>
      <c r="L261" s="146"/>
      <c r="M261" s="146"/>
      <c r="N261" s="146"/>
      <c r="O261" s="146"/>
      <c r="P261" s="146"/>
      <c r="Q261" s="146"/>
      <c r="R261" s="146"/>
      <c r="S261" s="146"/>
      <c r="T261" s="146"/>
      <c r="U261" s="146"/>
      <c r="V261" s="146"/>
      <c r="W261" s="146"/>
      <c r="X261" s="146"/>
      <c r="Y261" s="146"/>
      <c r="Z261" s="146"/>
      <c r="AA261" s="146"/>
      <c r="AB261" s="146"/>
      <c r="AC261" s="146"/>
      <c r="AD261" s="146"/>
      <c r="AE261" s="146"/>
      <c r="AF261" s="146"/>
      <c r="AG261" s="146"/>
      <c r="AH261" s="146"/>
      <c r="AI261" s="146"/>
      <c r="AJ261" s="146"/>
      <c r="AK261" s="146"/>
      <c r="AL261" s="146"/>
      <c r="AM261" s="146"/>
      <c r="AN261" s="146"/>
      <c r="AO261" s="146"/>
      <c r="AP261" s="146"/>
      <c r="AQ261" s="146"/>
      <c r="AR261" s="146"/>
      <c r="AS261" s="146"/>
      <c r="AT261" s="146"/>
      <c r="AU261" s="146"/>
      <c r="AV261" s="146"/>
      <c r="AW261" s="146"/>
      <c r="AX261" s="146"/>
      <c r="AY261" s="146"/>
    </row>
    <row r="262" spans="3:51" ht="13.5" customHeight="1">
      <c r="C262" s="377"/>
      <c r="D262" s="377"/>
      <c r="E262" s="146"/>
      <c r="F262" s="146"/>
      <c r="G262" s="146"/>
      <c r="H262" s="146"/>
      <c r="I262" s="146"/>
      <c r="J262" s="146"/>
      <c r="K262" s="146"/>
      <c r="L262" s="146"/>
      <c r="M262" s="146"/>
      <c r="N262" s="146"/>
      <c r="O262" s="146"/>
      <c r="P262" s="146"/>
      <c r="Q262" s="146"/>
      <c r="R262" s="146"/>
      <c r="S262" s="146"/>
      <c r="T262" s="146"/>
      <c r="U262" s="146"/>
      <c r="V262" s="146"/>
      <c r="W262" s="146"/>
      <c r="X262" s="146"/>
      <c r="Y262" s="146"/>
      <c r="Z262" s="146"/>
      <c r="AA262" s="146"/>
      <c r="AB262" s="146"/>
      <c r="AC262" s="146"/>
      <c r="AD262" s="146"/>
      <c r="AE262" s="146"/>
      <c r="AF262" s="146"/>
      <c r="AG262" s="146"/>
      <c r="AH262" s="146"/>
      <c r="AI262" s="146"/>
      <c r="AJ262" s="146"/>
      <c r="AK262" s="146"/>
      <c r="AL262" s="146"/>
      <c r="AM262" s="146"/>
      <c r="AN262" s="146"/>
      <c r="AO262" s="146"/>
      <c r="AP262" s="146"/>
      <c r="AQ262" s="146"/>
      <c r="AR262" s="146"/>
      <c r="AS262" s="146"/>
      <c r="AT262" s="146"/>
      <c r="AU262" s="146"/>
      <c r="AV262" s="146"/>
      <c r="AW262" s="146"/>
      <c r="AX262" s="146"/>
      <c r="AY262" s="146"/>
    </row>
    <row r="263" spans="3:51" ht="13.5" customHeight="1">
      <c r="C263" s="377"/>
      <c r="D263" s="377"/>
      <c r="E263" s="146"/>
      <c r="F263" s="146"/>
      <c r="G263" s="146"/>
      <c r="H263" s="146"/>
      <c r="I263" s="146"/>
      <c r="J263" s="146"/>
      <c r="K263" s="146"/>
      <c r="L263" s="146"/>
      <c r="M263" s="146"/>
      <c r="N263" s="146"/>
      <c r="O263" s="146"/>
      <c r="P263" s="146"/>
      <c r="Q263" s="146"/>
      <c r="R263" s="146"/>
      <c r="S263" s="146"/>
      <c r="T263" s="146"/>
      <c r="U263" s="146"/>
      <c r="V263" s="146"/>
      <c r="W263" s="146"/>
      <c r="X263" s="146"/>
      <c r="Y263" s="146"/>
      <c r="Z263" s="146"/>
      <c r="AA263" s="146"/>
      <c r="AB263" s="146"/>
      <c r="AC263" s="146"/>
      <c r="AD263" s="146"/>
      <c r="AE263" s="146"/>
      <c r="AF263" s="146"/>
      <c r="AG263" s="146"/>
      <c r="AH263" s="146"/>
      <c r="AI263" s="146"/>
      <c r="AJ263" s="146"/>
      <c r="AK263" s="146"/>
      <c r="AL263" s="146"/>
      <c r="AM263" s="146"/>
      <c r="AN263" s="146"/>
      <c r="AO263" s="146"/>
      <c r="AP263" s="146"/>
      <c r="AQ263" s="146"/>
      <c r="AR263" s="146"/>
      <c r="AS263" s="146"/>
      <c r="AT263" s="146"/>
      <c r="AU263" s="146"/>
      <c r="AV263" s="146"/>
      <c r="AW263" s="146"/>
      <c r="AX263" s="146"/>
      <c r="AY263" s="146"/>
    </row>
    <row r="264" spans="3:51" ht="13.5" customHeight="1">
      <c r="C264" s="377"/>
      <c r="D264" s="377"/>
      <c r="E264" s="146"/>
      <c r="F264" s="146"/>
      <c r="G264" s="146"/>
      <c r="H264" s="146"/>
      <c r="I264" s="146"/>
      <c r="J264" s="146"/>
      <c r="K264" s="146"/>
      <c r="L264" s="146"/>
      <c r="M264" s="146"/>
      <c r="N264" s="146"/>
      <c r="O264" s="146"/>
      <c r="P264" s="146"/>
      <c r="Q264" s="146"/>
      <c r="R264" s="146"/>
      <c r="S264" s="146"/>
      <c r="T264" s="146"/>
      <c r="U264" s="146"/>
      <c r="V264" s="146"/>
      <c r="W264" s="146"/>
      <c r="X264" s="146"/>
      <c r="Y264" s="146"/>
      <c r="Z264" s="146"/>
      <c r="AA264" s="146"/>
      <c r="AB264" s="146"/>
      <c r="AC264" s="146"/>
      <c r="AD264" s="146"/>
      <c r="AE264" s="146"/>
      <c r="AF264" s="146"/>
      <c r="AG264" s="146"/>
      <c r="AH264" s="146"/>
      <c r="AI264" s="146"/>
      <c r="AJ264" s="146"/>
      <c r="AK264" s="146"/>
      <c r="AL264" s="146"/>
      <c r="AM264" s="146"/>
      <c r="AN264" s="146"/>
      <c r="AO264" s="146"/>
      <c r="AP264" s="146"/>
      <c r="AQ264" s="146"/>
      <c r="AR264" s="146"/>
      <c r="AS264" s="146"/>
      <c r="AT264" s="146"/>
      <c r="AU264" s="146"/>
      <c r="AV264" s="146"/>
      <c r="AW264" s="146"/>
      <c r="AX264" s="146"/>
      <c r="AY264" s="146"/>
    </row>
    <row r="265" spans="3:51" ht="13.5" customHeight="1">
      <c r="C265" s="377"/>
      <c r="D265" s="377"/>
      <c r="E265" s="146"/>
      <c r="F265" s="146"/>
      <c r="G265" s="146"/>
      <c r="H265" s="146"/>
      <c r="I265" s="146"/>
      <c r="J265" s="146"/>
      <c r="K265" s="146"/>
      <c r="L265" s="146"/>
      <c r="M265" s="146"/>
      <c r="N265" s="146"/>
      <c r="O265" s="146"/>
      <c r="P265" s="146"/>
      <c r="Q265" s="146"/>
      <c r="R265" s="146"/>
      <c r="S265" s="146"/>
      <c r="T265" s="146"/>
      <c r="U265" s="146"/>
      <c r="V265" s="146"/>
      <c r="W265" s="146"/>
      <c r="X265" s="146"/>
      <c r="Y265" s="146"/>
      <c r="Z265" s="146"/>
      <c r="AA265" s="146"/>
      <c r="AB265" s="146"/>
      <c r="AC265" s="146"/>
      <c r="AD265" s="146"/>
      <c r="AE265" s="146"/>
      <c r="AF265" s="146"/>
      <c r="AG265" s="146"/>
      <c r="AH265" s="146"/>
      <c r="AI265" s="146"/>
      <c r="AJ265" s="146"/>
      <c r="AK265" s="146"/>
      <c r="AL265" s="146"/>
      <c r="AM265" s="146"/>
      <c r="AN265" s="146"/>
      <c r="AO265" s="146"/>
      <c r="AP265" s="146"/>
      <c r="AQ265" s="146"/>
      <c r="AR265" s="146"/>
      <c r="AS265" s="146"/>
      <c r="AT265" s="146"/>
      <c r="AU265" s="146"/>
      <c r="AV265" s="146"/>
      <c r="AW265" s="146"/>
      <c r="AX265" s="146"/>
      <c r="AY265" s="146"/>
    </row>
    <row r="266" spans="3:51" ht="13.5" customHeight="1">
      <c r="C266" s="377"/>
      <c r="D266" s="377"/>
      <c r="E266" s="146"/>
      <c r="F266" s="146"/>
      <c r="G266" s="146"/>
      <c r="H266" s="146"/>
      <c r="I266" s="146"/>
      <c r="J266" s="146"/>
      <c r="K266" s="146"/>
      <c r="L266" s="146"/>
      <c r="M266" s="146"/>
      <c r="N266" s="146"/>
      <c r="O266" s="146"/>
      <c r="P266" s="146"/>
      <c r="Q266" s="146"/>
      <c r="R266" s="146"/>
      <c r="S266" s="146"/>
      <c r="T266" s="146"/>
      <c r="U266" s="146"/>
      <c r="V266" s="146"/>
      <c r="W266" s="146"/>
      <c r="X266" s="146"/>
      <c r="Y266" s="146"/>
      <c r="Z266" s="146"/>
      <c r="AA266" s="146"/>
      <c r="AB266" s="146"/>
      <c r="AC266" s="146"/>
      <c r="AD266" s="146"/>
      <c r="AE266" s="146"/>
      <c r="AF266" s="146"/>
      <c r="AG266" s="146"/>
      <c r="AH266" s="146"/>
      <c r="AI266" s="146"/>
      <c r="AJ266" s="146"/>
      <c r="AK266" s="146"/>
      <c r="AL266" s="146"/>
      <c r="AM266" s="146"/>
      <c r="AN266" s="146"/>
      <c r="AO266" s="146"/>
      <c r="AP266" s="146"/>
      <c r="AQ266" s="146"/>
      <c r="AR266" s="146"/>
      <c r="AS266" s="146"/>
      <c r="AT266" s="146"/>
      <c r="AU266" s="146"/>
      <c r="AV266" s="146"/>
      <c r="AW266" s="146"/>
      <c r="AX266" s="146"/>
      <c r="AY266" s="146"/>
    </row>
    <row r="267" spans="3:51" ht="13.5" customHeight="1">
      <c r="C267" s="377"/>
      <c r="D267" s="377"/>
      <c r="E267" s="146"/>
      <c r="F267" s="146"/>
      <c r="G267" s="146"/>
      <c r="H267" s="146"/>
      <c r="I267" s="146"/>
      <c r="J267" s="146"/>
      <c r="K267" s="146"/>
      <c r="L267" s="146"/>
      <c r="M267" s="146"/>
      <c r="N267" s="146"/>
      <c r="O267" s="146"/>
      <c r="P267" s="146"/>
      <c r="Q267" s="146"/>
      <c r="R267" s="146"/>
      <c r="S267" s="146"/>
      <c r="T267" s="146"/>
      <c r="U267" s="146"/>
      <c r="V267" s="146"/>
      <c r="W267" s="146"/>
      <c r="X267" s="146"/>
      <c r="Y267" s="146"/>
      <c r="Z267" s="146"/>
      <c r="AA267" s="146"/>
      <c r="AB267" s="146"/>
      <c r="AC267" s="146"/>
      <c r="AD267" s="146"/>
      <c r="AE267" s="146"/>
      <c r="AF267" s="146"/>
      <c r="AG267" s="146"/>
      <c r="AH267" s="146"/>
      <c r="AI267" s="146"/>
      <c r="AJ267" s="146"/>
      <c r="AK267" s="146"/>
      <c r="AL267" s="146"/>
      <c r="AM267" s="146"/>
      <c r="AN267" s="146"/>
      <c r="AO267" s="146"/>
      <c r="AP267" s="146"/>
      <c r="AQ267" s="146"/>
      <c r="AR267" s="146"/>
      <c r="AS267" s="146"/>
      <c r="AT267" s="146"/>
      <c r="AU267" s="146"/>
      <c r="AV267" s="146"/>
      <c r="AW267" s="146"/>
      <c r="AX267" s="146"/>
      <c r="AY267" s="146"/>
    </row>
    <row r="268" spans="3:51" ht="13.5" customHeight="1">
      <c r="C268" s="377"/>
      <c r="D268" s="377"/>
      <c r="E268" s="146"/>
      <c r="F268" s="146"/>
      <c r="G268" s="146"/>
      <c r="H268" s="146"/>
      <c r="I268" s="146"/>
      <c r="J268" s="146"/>
      <c r="K268" s="146"/>
      <c r="L268" s="146"/>
      <c r="M268" s="146"/>
      <c r="N268" s="146"/>
      <c r="O268" s="146"/>
      <c r="P268" s="146"/>
      <c r="Q268" s="146"/>
      <c r="R268" s="146"/>
      <c r="S268" s="146"/>
      <c r="T268" s="146"/>
      <c r="U268" s="146"/>
      <c r="V268" s="146"/>
      <c r="W268" s="146"/>
      <c r="X268" s="146"/>
      <c r="Y268" s="146"/>
      <c r="Z268" s="146"/>
      <c r="AA268" s="146"/>
      <c r="AB268" s="146"/>
      <c r="AC268" s="146"/>
      <c r="AD268" s="146"/>
      <c r="AE268" s="146"/>
      <c r="AF268" s="146"/>
      <c r="AG268" s="146"/>
      <c r="AH268" s="146"/>
      <c r="AI268" s="146"/>
      <c r="AJ268" s="146"/>
      <c r="AK268" s="146"/>
      <c r="AL268" s="146"/>
      <c r="AM268" s="146"/>
      <c r="AN268" s="146"/>
      <c r="AO268" s="146"/>
      <c r="AP268" s="146"/>
      <c r="AQ268" s="146"/>
      <c r="AR268" s="146"/>
      <c r="AS268" s="146"/>
      <c r="AT268" s="146"/>
      <c r="AU268" s="146"/>
      <c r="AV268" s="146"/>
      <c r="AW268" s="146"/>
      <c r="AX268" s="146"/>
      <c r="AY268" s="146"/>
    </row>
    <row r="269" spans="3:51" ht="13.5" customHeight="1">
      <c r="C269" s="377"/>
      <c r="D269" s="377"/>
      <c r="E269" s="146"/>
      <c r="F269" s="146"/>
      <c r="G269" s="146"/>
      <c r="H269" s="146"/>
      <c r="I269" s="146"/>
      <c r="J269" s="146"/>
      <c r="K269" s="146"/>
      <c r="L269" s="146"/>
      <c r="M269" s="146"/>
      <c r="N269" s="146"/>
      <c r="O269" s="146"/>
      <c r="P269" s="146"/>
      <c r="Q269" s="146"/>
      <c r="R269" s="146"/>
      <c r="S269" s="146"/>
      <c r="T269" s="146"/>
      <c r="U269" s="146"/>
      <c r="V269" s="146"/>
      <c r="W269" s="146"/>
      <c r="X269" s="146"/>
      <c r="Y269" s="146"/>
      <c r="Z269" s="146"/>
      <c r="AA269" s="146"/>
      <c r="AB269" s="146"/>
      <c r="AC269" s="146"/>
      <c r="AD269" s="146"/>
      <c r="AE269" s="146"/>
      <c r="AF269" s="146"/>
      <c r="AG269" s="146"/>
      <c r="AH269" s="146"/>
      <c r="AI269" s="146"/>
      <c r="AJ269" s="146"/>
      <c r="AK269" s="146"/>
      <c r="AL269" s="146"/>
      <c r="AM269" s="146"/>
      <c r="AN269" s="146"/>
      <c r="AO269" s="146"/>
      <c r="AP269" s="146"/>
      <c r="AQ269" s="146"/>
      <c r="AR269" s="146"/>
      <c r="AS269" s="146"/>
      <c r="AT269" s="146"/>
      <c r="AU269" s="146"/>
      <c r="AV269" s="146"/>
      <c r="AW269" s="146"/>
      <c r="AX269" s="146"/>
      <c r="AY269" s="146"/>
    </row>
    <row r="270" spans="3:51" ht="13.5" customHeight="1">
      <c r="C270" s="377"/>
      <c r="D270" s="377"/>
      <c r="E270" s="146"/>
      <c r="F270" s="146"/>
      <c r="G270" s="146"/>
      <c r="H270" s="146"/>
      <c r="I270" s="146"/>
      <c r="J270" s="146"/>
      <c r="K270" s="146"/>
      <c r="L270" s="146"/>
      <c r="M270" s="146"/>
      <c r="N270" s="146"/>
      <c r="O270" s="146"/>
      <c r="P270" s="146"/>
      <c r="Q270" s="146"/>
      <c r="R270" s="146"/>
      <c r="S270" s="146"/>
      <c r="T270" s="146"/>
      <c r="U270" s="146"/>
      <c r="V270" s="146"/>
      <c r="W270" s="146"/>
      <c r="X270" s="146"/>
      <c r="Y270" s="146"/>
      <c r="Z270" s="146"/>
      <c r="AA270" s="146"/>
      <c r="AB270" s="146"/>
      <c r="AC270" s="146"/>
      <c r="AD270" s="146"/>
      <c r="AE270" s="146"/>
      <c r="AF270" s="146"/>
      <c r="AG270" s="146"/>
      <c r="AH270" s="146"/>
      <c r="AI270" s="146"/>
      <c r="AJ270" s="146"/>
      <c r="AK270" s="146"/>
      <c r="AL270" s="146"/>
      <c r="AM270" s="146"/>
      <c r="AN270" s="146"/>
      <c r="AO270" s="146"/>
      <c r="AP270" s="146"/>
      <c r="AQ270" s="146"/>
      <c r="AR270" s="146"/>
      <c r="AS270" s="146"/>
      <c r="AT270" s="146"/>
      <c r="AU270" s="146"/>
      <c r="AV270" s="146"/>
      <c r="AW270" s="146"/>
      <c r="AX270" s="146"/>
      <c r="AY270" s="146"/>
    </row>
    <row r="271" spans="3:51" ht="13.5" customHeight="1">
      <c r="C271" s="377"/>
      <c r="D271" s="377"/>
      <c r="E271" s="146"/>
      <c r="F271" s="146"/>
      <c r="G271" s="146"/>
      <c r="H271" s="146"/>
      <c r="I271" s="146"/>
      <c r="J271" s="146"/>
      <c r="K271" s="146"/>
      <c r="L271" s="146"/>
      <c r="M271" s="146"/>
      <c r="N271" s="146"/>
      <c r="O271" s="146"/>
      <c r="P271" s="146"/>
      <c r="Q271" s="146"/>
      <c r="R271" s="146"/>
      <c r="S271" s="146"/>
      <c r="T271" s="146"/>
      <c r="U271" s="146"/>
      <c r="V271" s="146"/>
      <c r="W271" s="146"/>
      <c r="X271" s="146"/>
      <c r="Y271" s="146"/>
      <c r="Z271" s="146"/>
      <c r="AA271" s="146"/>
      <c r="AB271" s="146"/>
      <c r="AC271" s="146"/>
      <c r="AD271" s="146"/>
      <c r="AE271" s="146"/>
      <c r="AF271" s="146"/>
      <c r="AG271" s="146"/>
      <c r="AH271" s="146"/>
      <c r="AI271" s="146"/>
      <c r="AJ271" s="146"/>
      <c r="AK271" s="146"/>
      <c r="AL271" s="146"/>
      <c r="AM271" s="146"/>
      <c r="AN271" s="146"/>
      <c r="AO271" s="146"/>
      <c r="AP271" s="146"/>
      <c r="AQ271" s="146"/>
      <c r="AR271" s="146"/>
      <c r="AS271" s="146"/>
      <c r="AT271" s="146"/>
      <c r="AU271" s="146"/>
      <c r="AV271" s="146"/>
      <c r="AW271" s="146"/>
      <c r="AX271" s="146"/>
      <c r="AY271" s="146"/>
    </row>
    <row r="272" spans="3:51" ht="13.5" customHeight="1">
      <c r="C272" s="377"/>
      <c r="D272" s="377"/>
      <c r="E272" s="146"/>
      <c r="F272" s="146"/>
      <c r="G272" s="146"/>
      <c r="H272" s="146"/>
      <c r="I272" s="146"/>
      <c r="J272" s="146"/>
      <c r="K272" s="146"/>
      <c r="L272" s="146"/>
      <c r="M272" s="146"/>
      <c r="N272" s="146"/>
      <c r="O272" s="146"/>
      <c r="P272" s="146"/>
      <c r="Q272" s="146"/>
      <c r="R272" s="146"/>
      <c r="S272" s="146"/>
      <c r="T272" s="146"/>
      <c r="U272" s="146"/>
      <c r="V272" s="146"/>
      <c r="W272" s="146"/>
      <c r="X272" s="146"/>
      <c r="Y272" s="146"/>
      <c r="Z272" s="146"/>
      <c r="AA272" s="146"/>
      <c r="AB272" s="146"/>
      <c r="AC272" s="146"/>
      <c r="AD272" s="146"/>
      <c r="AE272" s="146"/>
      <c r="AF272" s="146"/>
      <c r="AG272" s="146"/>
      <c r="AH272" s="146"/>
      <c r="AI272" s="146"/>
      <c r="AJ272" s="146"/>
      <c r="AK272" s="146"/>
      <c r="AL272" s="146"/>
      <c r="AM272" s="146"/>
      <c r="AN272" s="146"/>
      <c r="AO272" s="146"/>
      <c r="AP272" s="146"/>
      <c r="AQ272" s="146"/>
      <c r="AR272" s="146"/>
      <c r="AS272" s="146"/>
      <c r="AT272" s="146"/>
      <c r="AU272" s="146"/>
      <c r="AV272" s="146"/>
      <c r="AW272" s="146"/>
      <c r="AX272" s="146"/>
      <c r="AY272" s="146"/>
    </row>
    <row r="273" spans="3:51" ht="13.5" customHeight="1">
      <c r="C273" s="377"/>
      <c r="D273" s="377"/>
      <c r="E273" s="146"/>
      <c r="F273" s="146"/>
      <c r="G273" s="146"/>
      <c r="H273" s="146"/>
      <c r="I273" s="146"/>
      <c r="J273" s="146"/>
      <c r="K273" s="146"/>
      <c r="L273" s="146"/>
      <c r="M273" s="146"/>
      <c r="N273" s="146"/>
      <c r="O273" s="146"/>
      <c r="P273" s="146"/>
      <c r="Q273" s="146"/>
      <c r="R273" s="146"/>
      <c r="S273" s="146"/>
      <c r="T273" s="146"/>
      <c r="U273" s="146"/>
      <c r="V273" s="146"/>
      <c r="W273" s="146"/>
      <c r="X273" s="146"/>
      <c r="Y273" s="146"/>
      <c r="Z273" s="146"/>
      <c r="AA273" s="146"/>
      <c r="AB273" s="146"/>
      <c r="AC273" s="146"/>
      <c r="AD273" s="146"/>
      <c r="AE273" s="146"/>
      <c r="AF273" s="146"/>
      <c r="AG273" s="146"/>
      <c r="AH273" s="146"/>
      <c r="AI273" s="146"/>
      <c r="AJ273" s="146"/>
      <c r="AK273" s="146"/>
      <c r="AL273" s="146"/>
      <c r="AM273" s="146"/>
      <c r="AN273" s="146"/>
      <c r="AO273" s="146"/>
      <c r="AP273" s="146"/>
      <c r="AQ273" s="146"/>
      <c r="AR273" s="146"/>
      <c r="AS273" s="146"/>
      <c r="AT273" s="146"/>
      <c r="AU273" s="146"/>
      <c r="AV273" s="146"/>
      <c r="AW273" s="146"/>
      <c r="AX273" s="146"/>
      <c r="AY273" s="146"/>
    </row>
    <row r="274" spans="3:51" ht="13.5" customHeight="1">
      <c r="C274" s="377"/>
      <c r="D274" s="377"/>
      <c r="E274" s="146"/>
      <c r="F274" s="146"/>
      <c r="G274" s="146"/>
      <c r="H274" s="146"/>
      <c r="I274" s="146"/>
      <c r="J274" s="146"/>
      <c r="K274" s="146"/>
      <c r="L274" s="146"/>
      <c r="M274" s="146"/>
      <c r="N274" s="146"/>
      <c r="O274" s="146"/>
      <c r="P274" s="146"/>
      <c r="Q274" s="146"/>
      <c r="R274" s="146"/>
      <c r="S274" s="146"/>
      <c r="T274" s="146"/>
      <c r="U274" s="146"/>
      <c r="V274" s="146"/>
      <c r="W274" s="146"/>
      <c r="X274" s="146"/>
      <c r="Y274" s="146"/>
      <c r="Z274" s="146"/>
      <c r="AA274" s="146"/>
      <c r="AB274" s="146"/>
      <c r="AC274" s="146"/>
      <c r="AD274" s="146"/>
      <c r="AE274" s="146"/>
      <c r="AF274" s="146"/>
      <c r="AG274" s="146"/>
      <c r="AH274" s="146"/>
      <c r="AI274" s="146"/>
      <c r="AJ274" s="146"/>
      <c r="AK274" s="146"/>
      <c r="AL274" s="146"/>
      <c r="AM274" s="146"/>
      <c r="AN274" s="146"/>
      <c r="AO274" s="146"/>
      <c r="AP274" s="146"/>
      <c r="AQ274" s="146"/>
      <c r="AR274" s="146"/>
      <c r="AS274" s="146"/>
      <c r="AT274" s="146"/>
      <c r="AU274" s="146"/>
      <c r="AV274" s="146"/>
      <c r="AW274" s="146"/>
      <c r="AX274" s="146"/>
      <c r="AY274" s="146"/>
    </row>
    <row r="275" spans="3:51" ht="13.5" customHeight="1">
      <c r="C275" s="377"/>
      <c r="D275" s="377"/>
      <c r="E275" s="146"/>
      <c r="F275" s="146"/>
      <c r="G275" s="146"/>
      <c r="H275" s="146"/>
      <c r="I275" s="146"/>
      <c r="J275" s="146"/>
      <c r="K275" s="146"/>
      <c r="L275" s="146"/>
      <c r="M275" s="146"/>
      <c r="N275" s="146"/>
      <c r="O275" s="146"/>
      <c r="P275" s="146"/>
      <c r="Q275" s="146"/>
      <c r="R275" s="146"/>
      <c r="S275" s="146"/>
      <c r="T275" s="146"/>
      <c r="U275" s="146"/>
      <c r="V275" s="146"/>
      <c r="W275" s="146"/>
      <c r="X275" s="146"/>
      <c r="Y275" s="146"/>
      <c r="Z275" s="146"/>
      <c r="AA275" s="146"/>
      <c r="AB275" s="146"/>
      <c r="AC275" s="146"/>
      <c r="AD275" s="146"/>
      <c r="AE275" s="146"/>
      <c r="AF275" s="146"/>
      <c r="AG275" s="146"/>
      <c r="AH275" s="146"/>
      <c r="AI275" s="146"/>
      <c r="AJ275" s="146"/>
      <c r="AK275" s="146"/>
      <c r="AL275" s="146"/>
      <c r="AM275" s="146"/>
      <c r="AN275" s="146"/>
      <c r="AO275" s="146"/>
      <c r="AP275" s="146"/>
      <c r="AQ275" s="146"/>
      <c r="AR275" s="146"/>
      <c r="AS275" s="146"/>
      <c r="AT275" s="146"/>
      <c r="AU275" s="146"/>
      <c r="AV275" s="146"/>
      <c r="AW275" s="146"/>
      <c r="AX275" s="146"/>
      <c r="AY275" s="146"/>
    </row>
    <row r="276" spans="3:51" ht="13.5" customHeight="1">
      <c r="C276" s="377"/>
      <c r="D276" s="377"/>
      <c r="E276" s="146"/>
      <c r="F276" s="146"/>
      <c r="G276" s="146"/>
      <c r="H276" s="146"/>
      <c r="I276" s="146"/>
      <c r="J276" s="146"/>
      <c r="K276" s="146"/>
      <c r="L276" s="146"/>
      <c r="M276" s="146"/>
      <c r="N276" s="146"/>
      <c r="O276" s="146"/>
      <c r="P276" s="146"/>
      <c r="Q276" s="146"/>
      <c r="R276" s="146"/>
      <c r="S276" s="146"/>
      <c r="T276" s="146"/>
      <c r="U276" s="146"/>
      <c r="V276" s="146"/>
      <c r="W276" s="146"/>
      <c r="X276" s="146"/>
      <c r="Y276" s="146"/>
      <c r="Z276" s="146"/>
      <c r="AA276" s="146"/>
      <c r="AB276" s="146"/>
      <c r="AC276" s="146"/>
      <c r="AD276" s="146"/>
      <c r="AE276" s="146"/>
      <c r="AF276" s="146"/>
      <c r="AG276" s="146"/>
      <c r="AH276" s="146"/>
      <c r="AI276" s="146"/>
      <c r="AJ276" s="146"/>
      <c r="AK276" s="146"/>
      <c r="AL276" s="146"/>
      <c r="AM276" s="146"/>
      <c r="AN276" s="146"/>
      <c r="AO276" s="146"/>
      <c r="AP276" s="146"/>
      <c r="AQ276" s="146"/>
      <c r="AR276" s="146"/>
      <c r="AS276" s="146"/>
      <c r="AT276" s="146"/>
      <c r="AU276" s="146"/>
      <c r="AV276" s="146"/>
      <c r="AW276" s="146"/>
      <c r="AX276" s="146"/>
      <c r="AY276" s="146"/>
    </row>
    <row r="277" spans="3:51" ht="13.5" customHeight="1">
      <c r="C277" s="377"/>
      <c r="D277" s="377"/>
      <c r="E277" s="146"/>
      <c r="F277" s="146"/>
      <c r="G277" s="146"/>
      <c r="H277" s="146"/>
      <c r="I277" s="146"/>
      <c r="J277" s="146"/>
      <c r="K277" s="146"/>
      <c r="L277" s="146"/>
      <c r="M277" s="146"/>
      <c r="N277" s="146"/>
      <c r="O277" s="146"/>
      <c r="P277" s="146"/>
      <c r="Q277" s="146"/>
      <c r="R277" s="146"/>
      <c r="S277" s="146"/>
      <c r="T277" s="146"/>
      <c r="U277" s="146"/>
      <c r="V277" s="146"/>
      <c r="W277" s="146"/>
      <c r="X277" s="146"/>
      <c r="Y277" s="146"/>
      <c r="Z277" s="146"/>
      <c r="AA277" s="146"/>
      <c r="AB277" s="146"/>
      <c r="AC277" s="146"/>
      <c r="AD277" s="146"/>
      <c r="AE277" s="146"/>
      <c r="AF277" s="146"/>
      <c r="AG277" s="146"/>
      <c r="AH277" s="146"/>
      <c r="AI277" s="146"/>
      <c r="AJ277" s="146"/>
      <c r="AK277" s="146"/>
      <c r="AL277" s="146"/>
      <c r="AM277" s="146"/>
      <c r="AN277" s="146"/>
      <c r="AO277" s="146"/>
      <c r="AP277" s="146"/>
      <c r="AQ277" s="146"/>
      <c r="AR277" s="146"/>
      <c r="AS277" s="146"/>
      <c r="AT277" s="146"/>
      <c r="AU277" s="146"/>
      <c r="AV277" s="146"/>
      <c r="AW277" s="146"/>
      <c r="AX277" s="146"/>
      <c r="AY277" s="146"/>
    </row>
    <row r="278" spans="3:51" ht="13.5" customHeight="1">
      <c r="C278" s="377"/>
      <c r="D278" s="377"/>
      <c r="E278" s="146"/>
      <c r="F278" s="146"/>
      <c r="G278" s="146"/>
      <c r="H278" s="146"/>
      <c r="I278" s="146"/>
      <c r="J278" s="146"/>
      <c r="K278" s="146"/>
      <c r="L278" s="146"/>
      <c r="M278" s="146"/>
      <c r="N278" s="146"/>
      <c r="O278" s="146"/>
      <c r="P278" s="146"/>
      <c r="Q278" s="146"/>
      <c r="R278" s="146"/>
      <c r="S278" s="146"/>
      <c r="T278" s="146"/>
      <c r="U278" s="146"/>
      <c r="V278" s="146"/>
      <c r="W278" s="146"/>
      <c r="X278" s="146"/>
      <c r="Y278" s="146"/>
      <c r="Z278" s="146"/>
      <c r="AA278" s="146"/>
      <c r="AB278" s="146"/>
      <c r="AC278" s="146"/>
      <c r="AD278" s="146"/>
      <c r="AE278" s="146"/>
      <c r="AF278" s="146"/>
      <c r="AG278" s="146"/>
      <c r="AH278" s="146"/>
      <c r="AI278" s="146"/>
      <c r="AJ278" s="146"/>
      <c r="AK278" s="146"/>
      <c r="AL278" s="146"/>
      <c r="AM278" s="146"/>
      <c r="AN278" s="146"/>
      <c r="AO278" s="146"/>
      <c r="AP278" s="146"/>
      <c r="AQ278" s="146"/>
      <c r="AR278" s="146"/>
      <c r="AS278" s="146"/>
      <c r="AT278" s="146"/>
      <c r="AU278" s="146"/>
      <c r="AV278" s="146"/>
      <c r="AW278" s="146"/>
      <c r="AX278" s="146"/>
      <c r="AY278" s="146"/>
    </row>
    <row r="279" spans="3:51" ht="13.5" customHeight="1">
      <c r="C279" s="377"/>
      <c r="D279" s="377"/>
      <c r="E279" s="146"/>
      <c r="F279" s="146"/>
      <c r="G279" s="146"/>
      <c r="H279" s="146"/>
      <c r="I279" s="146"/>
      <c r="J279" s="146"/>
      <c r="K279" s="146"/>
      <c r="L279" s="146"/>
      <c r="M279" s="146"/>
      <c r="N279" s="146"/>
      <c r="O279" s="146"/>
      <c r="P279" s="146"/>
      <c r="Q279" s="146"/>
      <c r="R279" s="146"/>
      <c r="S279" s="146"/>
      <c r="T279" s="146"/>
      <c r="U279" s="146"/>
      <c r="V279" s="146"/>
      <c r="W279" s="146"/>
      <c r="X279" s="146"/>
      <c r="Y279" s="146"/>
      <c r="Z279" s="146"/>
      <c r="AA279" s="146"/>
      <c r="AB279" s="146"/>
      <c r="AC279" s="146"/>
      <c r="AD279" s="146"/>
      <c r="AE279" s="146"/>
      <c r="AF279" s="146"/>
      <c r="AG279" s="146"/>
      <c r="AH279" s="146"/>
      <c r="AI279" s="146"/>
      <c r="AJ279" s="146"/>
      <c r="AK279" s="146"/>
      <c r="AL279" s="146"/>
      <c r="AM279" s="146"/>
      <c r="AN279" s="146"/>
      <c r="AO279" s="146"/>
      <c r="AP279" s="146"/>
      <c r="AQ279" s="146"/>
      <c r="AR279" s="146"/>
      <c r="AS279" s="146"/>
      <c r="AT279" s="146"/>
      <c r="AU279" s="146"/>
      <c r="AV279" s="146"/>
      <c r="AW279" s="146"/>
      <c r="AX279" s="146"/>
      <c r="AY279" s="146"/>
    </row>
    <row r="280" spans="3:51" ht="13.5" customHeight="1">
      <c r="C280" s="377"/>
      <c r="D280" s="377"/>
      <c r="E280" s="146"/>
      <c r="F280" s="146"/>
      <c r="G280" s="146"/>
      <c r="H280" s="146"/>
      <c r="I280" s="146"/>
      <c r="J280" s="146"/>
      <c r="K280" s="146"/>
      <c r="L280" s="146"/>
      <c r="M280" s="146"/>
      <c r="N280" s="146"/>
      <c r="O280" s="146"/>
      <c r="P280" s="146"/>
      <c r="Q280" s="146"/>
      <c r="R280" s="146"/>
      <c r="S280" s="146"/>
      <c r="T280" s="146"/>
      <c r="U280" s="146"/>
      <c r="V280" s="146"/>
      <c r="W280" s="146"/>
      <c r="X280" s="146"/>
      <c r="Y280" s="146"/>
      <c r="Z280" s="146"/>
      <c r="AA280" s="146"/>
      <c r="AB280" s="146"/>
      <c r="AC280" s="146"/>
      <c r="AD280" s="146"/>
      <c r="AE280" s="146"/>
      <c r="AF280" s="146"/>
      <c r="AG280" s="146"/>
      <c r="AH280" s="146"/>
      <c r="AI280" s="146"/>
      <c r="AJ280" s="146"/>
      <c r="AK280" s="146"/>
      <c r="AL280" s="146"/>
      <c r="AM280" s="146"/>
      <c r="AN280" s="146"/>
      <c r="AO280" s="146"/>
      <c r="AP280" s="146"/>
      <c r="AQ280" s="146"/>
      <c r="AR280" s="146"/>
      <c r="AS280" s="146"/>
      <c r="AT280" s="146"/>
      <c r="AU280" s="146"/>
      <c r="AV280" s="146"/>
      <c r="AW280" s="146"/>
      <c r="AX280" s="146"/>
      <c r="AY280" s="146"/>
    </row>
    <row r="281" spans="3:51" ht="13.5" customHeight="1">
      <c r="C281" s="377"/>
      <c r="D281" s="377"/>
      <c r="E281" s="146"/>
      <c r="F281" s="146"/>
      <c r="G281" s="146"/>
      <c r="H281" s="146"/>
      <c r="I281" s="146"/>
      <c r="J281" s="146"/>
      <c r="K281" s="146"/>
      <c r="L281" s="146"/>
      <c r="M281" s="146"/>
      <c r="N281" s="146"/>
      <c r="O281" s="146"/>
      <c r="P281" s="146"/>
      <c r="Q281" s="146"/>
      <c r="R281" s="146"/>
      <c r="S281" s="146"/>
      <c r="T281" s="146"/>
      <c r="U281" s="146"/>
      <c r="V281" s="146"/>
      <c r="W281" s="146"/>
      <c r="X281" s="146"/>
      <c r="Y281" s="146"/>
      <c r="Z281" s="146"/>
      <c r="AA281" s="146"/>
      <c r="AB281" s="146"/>
      <c r="AC281" s="146"/>
      <c r="AD281" s="146"/>
      <c r="AE281" s="146"/>
      <c r="AF281" s="146"/>
      <c r="AG281" s="146"/>
      <c r="AH281" s="146"/>
      <c r="AI281" s="146"/>
      <c r="AJ281" s="146"/>
      <c r="AK281" s="146"/>
      <c r="AL281" s="146"/>
      <c r="AM281" s="146"/>
      <c r="AN281" s="146"/>
      <c r="AO281" s="146"/>
      <c r="AP281" s="146"/>
      <c r="AQ281" s="146"/>
      <c r="AR281" s="146"/>
      <c r="AS281" s="146"/>
      <c r="AT281" s="146"/>
      <c r="AU281" s="146"/>
      <c r="AV281" s="146"/>
      <c r="AW281" s="146"/>
      <c r="AX281" s="146"/>
      <c r="AY281" s="146"/>
    </row>
    <row r="282" spans="3:51" ht="13.5" customHeight="1">
      <c r="C282" s="377"/>
      <c r="D282" s="377"/>
      <c r="E282" s="146"/>
      <c r="F282" s="146"/>
      <c r="G282" s="146"/>
      <c r="H282" s="146"/>
      <c r="I282" s="146"/>
      <c r="J282" s="146"/>
      <c r="K282" s="146"/>
      <c r="L282" s="146"/>
      <c r="M282" s="146"/>
      <c r="N282" s="146"/>
      <c r="O282" s="146"/>
      <c r="P282" s="146"/>
      <c r="Q282" s="146"/>
      <c r="R282" s="146"/>
      <c r="S282" s="146"/>
      <c r="T282" s="146"/>
      <c r="U282" s="146"/>
      <c r="V282" s="146"/>
      <c r="W282" s="146"/>
      <c r="X282" s="146"/>
      <c r="Y282" s="146"/>
      <c r="Z282" s="146"/>
      <c r="AA282" s="146"/>
      <c r="AB282" s="146"/>
      <c r="AC282" s="146"/>
      <c r="AD282" s="146"/>
      <c r="AE282" s="146"/>
      <c r="AF282" s="146"/>
      <c r="AG282" s="146"/>
      <c r="AH282" s="146"/>
      <c r="AI282" s="146"/>
      <c r="AJ282" s="146"/>
      <c r="AK282" s="146"/>
      <c r="AL282" s="146"/>
      <c r="AM282" s="146"/>
      <c r="AN282" s="146"/>
      <c r="AO282" s="146"/>
      <c r="AP282" s="146"/>
      <c r="AQ282" s="146"/>
      <c r="AR282" s="146"/>
      <c r="AS282" s="146"/>
      <c r="AT282" s="146"/>
      <c r="AU282" s="146"/>
      <c r="AV282" s="146"/>
      <c r="AW282" s="146"/>
      <c r="AX282" s="146"/>
      <c r="AY282" s="146"/>
    </row>
    <row r="283" spans="3:51" ht="13.5" customHeight="1">
      <c r="C283" s="377"/>
      <c r="D283" s="377"/>
      <c r="E283" s="146"/>
      <c r="F283" s="146"/>
      <c r="G283" s="146"/>
      <c r="H283" s="146"/>
      <c r="I283" s="146"/>
      <c r="J283" s="146"/>
      <c r="K283" s="146"/>
      <c r="L283" s="146"/>
      <c r="M283" s="146"/>
      <c r="N283" s="146"/>
      <c r="O283" s="146"/>
      <c r="P283" s="146"/>
      <c r="Q283" s="146"/>
      <c r="R283" s="146"/>
      <c r="S283" s="146"/>
      <c r="T283" s="146"/>
      <c r="U283" s="146"/>
      <c r="V283" s="146"/>
      <c r="W283" s="146"/>
      <c r="X283" s="146"/>
      <c r="Y283" s="146"/>
      <c r="Z283" s="146"/>
      <c r="AA283" s="146"/>
      <c r="AB283" s="146"/>
      <c r="AC283" s="146"/>
      <c r="AD283" s="146"/>
      <c r="AE283" s="146"/>
      <c r="AF283" s="146"/>
      <c r="AG283" s="146"/>
      <c r="AH283" s="146"/>
      <c r="AI283" s="146"/>
      <c r="AJ283" s="146"/>
      <c r="AK283" s="146"/>
      <c r="AL283" s="146"/>
      <c r="AM283" s="146"/>
      <c r="AN283" s="146"/>
      <c r="AO283" s="146"/>
      <c r="AP283" s="146"/>
      <c r="AQ283" s="146"/>
      <c r="AR283" s="146"/>
      <c r="AS283" s="146"/>
      <c r="AT283" s="146"/>
      <c r="AU283" s="146"/>
      <c r="AV283" s="146"/>
      <c r="AW283" s="146"/>
      <c r="AX283" s="146"/>
      <c r="AY283" s="146"/>
    </row>
    <row r="284" spans="3:51" ht="13.5" customHeight="1"/>
    <row r="285" spans="3:51" ht="13.5" customHeight="1"/>
    <row r="286" spans="3:51" ht="13.5" customHeight="1"/>
    <row r="287" spans="3:51" ht="13.5" customHeight="1"/>
    <row r="288" spans="3:51"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sheetData>
  <sheetProtection algorithmName="SHA-512" hashValue="vR97wMCdAFGKJSAQt8/OcMZUaKeLJfS+EKWLxAzOSuY2qqEW1SWrjEuF5qgg19TyHZ/yEONIRJDCzGg151aDhQ==" saltValue="rJysTN2KmxJcwT9uyoHjYg==" spinCount="100000" sheet="1" objects="1" scenarios="1" formatCells="0" formatColumns="0" formatRows="0"/>
  <mergeCells count="216">
    <mergeCell ref="D114:E114"/>
    <mergeCell ref="D52:I52"/>
    <mergeCell ref="K52:AF52"/>
    <mergeCell ref="AH52:AP52"/>
    <mergeCell ref="AQ52:AY52"/>
    <mergeCell ref="D62:I62"/>
    <mergeCell ref="K62:AF62"/>
    <mergeCell ref="AH62:AP62"/>
    <mergeCell ref="AQ62:AY62"/>
    <mergeCell ref="F68:AY68"/>
    <mergeCell ref="F69:AY69"/>
    <mergeCell ref="D66:E66"/>
    <mergeCell ref="D67:E67"/>
    <mergeCell ref="D68:E68"/>
    <mergeCell ref="D69:E69"/>
    <mergeCell ref="D63:AO63"/>
    <mergeCell ref="AQ63:AY63"/>
    <mergeCell ref="D65:AY65"/>
    <mergeCell ref="D64:AY64"/>
    <mergeCell ref="D91:AY91"/>
    <mergeCell ref="D92:E92"/>
    <mergeCell ref="D96:E96"/>
    <mergeCell ref="D99:E99"/>
    <mergeCell ref="D100:E100"/>
    <mergeCell ref="BA96:CT96"/>
    <mergeCell ref="F97:AY97"/>
    <mergeCell ref="F98:AY98"/>
    <mergeCell ref="F114:AY114"/>
    <mergeCell ref="BB95:BL95"/>
    <mergeCell ref="BB67:BN67"/>
    <mergeCell ref="O40:AY40"/>
    <mergeCell ref="O41:AY41"/>
    <mergeCell ref="O42:AY42"/>
    <mergeCell ref="O43:AY43"/>
    <mergeCell ref="N44:AY44"/>
    <mergeCell ref="K53:AG53"/>
    <mergeCell ref="F66:AY66"/>
    <mergeCell ref="F67:AY67"/>
    <mergeCell ref="BB66:BN66"/>
    <mergeCell ref="BB54:BK54"/>
    <mergeCell ref="BB39:BL43"/>
    <mergeCell ref="D48:I48"/>
    <mergeCell ref="D49:I49"/>
    <mergeCell ref="AQ55:AY55"/>
    <mergeCell ref="D55:AO55"/>
    <mergeCell ref="D51:I51"/>
    <mergeCell ref="AQ53:AY53"/>
    <mergeCell ref="AQ54:AY54"/>
    <mergeCell ref="P32:AY32"/>
    <mergeCell ref="P33:AY33"/>
    <mergeCell ref="P34:AY34"/>
    <mergeCell ref="N45:AY45"/>
    <mergeCell ref="K51:AG51"/>
    <mergeCell ref="AQ48:AY48"/>
    <mergeCell ref="AH48:AP48"/>
    <mergeCell ref="K48:AG48"/>
    <mergeCell ref="AQ49:AY49"/>
    <mergeCell ref="AQ50:AY50"/>
    <mergeCell ref="AQ51:AY51"/>
    <mergeCell ref="AH49:AP49"/>
    <mergeCell ref="AH50:AP50"/>
    <mergeCell ref="AH51:AP51"/>
    <mergeCell ref="K49:AG49"/>
    <mergeCell ref="BB34:BK36"/>
    <mergeCell ref="D31:M31"/>
    <mergeCell ref="D39:M39"/>
    <mergeCell ref="N39:AY39"/>
    <mergeCell ref="D7:AY7"/>
    <mergeCell ref="D5:AY5"/>
    <mergeCell ref="N27:AY27"/>
    <mergeCell ref="D29:M29"/>
    <mergeCell ref="N29:AY29"/>
    <mergeCell ref="N26:AY26"/>
    <mergeCell ref="D20:AY20"/>
    <mergeCell ref="D21:AY21"/>
    <mergeCell ref="D23:AY23"/>
    <mergeCell ref="D24:AY24"/>
    <mergeCell ref="D26:M26"/>
    <mergeCell ref="D17:AY17"/>
    <mergeCell ref="D22:AY22"/>
    <mergeCell ref="D36:M36"/>
    <mergeCell ref="N36:AY36"/>
    <mergeCell ref="N37:AY37"/>
    <mergeCell ref="N31:AY31"/>
    <mergeCell ref="N32:O32"/>
    <mergeCell ref="N33:O33"/>
    <mergeCell ref="N34:O34"/>
    <mergeCell ref="AR2:AY2"/>
    <mergeCell ref="D9:AY9"/>
    <mergeCell ref="D10:AY10"/>
    <mergeCell ref="D11:AY11"/>
    <mergeCell ref="D12:AY12"/>
    <mergeCell ref="D13:AY13"/>
    <mergeCell ref="D14:AY14"/>
    <mergeCell ref="D19:AY19"/>
    <mergeCell ref="D15:AY15"/>
    <mergeCell ref="D16:AY16"/>
    <mergeCell ref="D18:AY18"/>
    <mergeCell ref="D50:I50"/>
    <mergeCell ref="D53:I53"/>
    <mergeCell ref="D54:I54"/>
    <mergeCell ref="K50:AG50"/>
    <mergeCell ref="D60:I60"/>
    <mergeCell ref="K60:AG60"/>
    <mergeCell ref="AH60:AP60"/>
    <mergeCell ref="AQ60:AY60"/>
    <mergeCell ref="D61:I61"/>
    <mergeCell ref="K61:AG61"/>
    <mergeCell ref="AH61:AP61"/>
    <mergeCell ref="AQ61:AY61"/>
    <mergeCell ref="D58:I58"/>
    <mergeCell ref="K58:AG58"/>
    <mergeCell ref="AH58:AP58"/>
    <mergeCell ref="AQ58:AY58"/>
    <mergeCell ref="D59:I59"/>
    <mergeCell ref="K59:AG59"/>
    <mergeCell ref="AH59:AP59"/>
    <mergeCell ref="AQ59:AY59"/>
    <mergeCell ref="AH53:AP53"/>
    <mergeCell ref="AH54:AP54"/>
    <mergeCell ref="K54:AG54"/>
    <mergeCell ref="F92:AY92"/>
    <mergeCell ref="F96:AY96"/>
    <mergeCell ref="F99:AY99"/>
    <mergeCell ref="F100:AY100"/>
    <mergeCell ref="F93:G93"/>
    <mergeCell ref="F94:G94"/>
    <mergeCell ref="F95:G95"/>
    <mergeCell ref="H93:AY93"/>
    <mergeCell ref="H94:AY94"/>
    <mergeCell ref="H95:AY95"/>
    <mergeCell ref="F103:AY103"/>
    <mergeCell ref="F104:AY104"/>
    <mergeCell ref="F105:AY105"/>
    <mergeCell ref="F106:AY106"/>
    <mergeCell ref="F112:AY112"/>
    <mergeCell ref="F107:AY107"/>
    <mergeCell ref="F108:AY108"/>
    <mergeCell ref="F109:AY109"/>
    <mergeCell ref="F110:AY110"/>
    <mergeCell ref="F111:AY111"/>
    <mergeCell ref="D102:AY102"/>
    <mergeCell ref="D103:E103"/>
    <mergeCell ref="D104:E104"/>
    <mergeCell ref="D105:E105"/>
    <mergeCell ref="D125:AY125"/>
    <mergeCell ref="D127:E127"/>
    <mergeCell ref="F127:AY127"/>
    <mergeCell ref="D115:AY115"/>
    <mergeCell ref="D116:AY116"/>
    <mergeCell ref="D117:E117"/>
    <mergeCell ref="D118:E118"/>
    <mergeCell ref="F117:AY117"/>
    <mergeCell ref="F118:AY118"/>
    <mergeCell ref="D126:E126"/>
    <mergeCell ref="F126:AY126"/>
    <mergeCell ref="D119:AY119"/>
    <mergeCell ref="D120:E120"/>
    <mergeCell ref="D106:E106"/>
    <mergeCell ref="D107:E107"/>
    <mergeCell ref="D108:E108"/>
    <mergeCell ref="D109:E109"/>
    <mergeCell ref="D110:E110"/>
    <mergeCell ref="D111:E111"/>
    <mergeCell ref="D112:E112"/>
    <mergeCell ref="AC137:AT137"/>
    <mergeCell ref="D134:F134"/>
    <mergeCell ref="C137:S137"/>
    <mergeCell ref="C138:S138"/>
    <mergeCell ref="D128:E128"/>
    <mergeCell ref="F128:AY128"/>
    <mergeCell ref="C131:AA131"/>
    <mergeCell ref="AC131:AY131"/>
    <mergeCell ref="AC136:AY136"/>
    <mergeCell ref="C136:Z136"/>
    <mergeCell ref="D71:AY71"/>
    <mergeCell ref="D73:Z73"/>
    <mergeCell ref="D74:Z74"/>
    <mergeCell ref="D75:Z75"/>
    <mergeCell ref="D76:Z76"/>
    <mergeCell ref="D77:Z77"/>
    <mergeCell ref="D78:Z78"/>
    <mergeCell ref="D79:Z79"/>
    <mergeCell ref="D80:Z80"/>
    <mergeCell ref="AA73:AY73"/>
    <mergeCell ref="AA74:AY74"/>
    <mergeCell ref="AA75:AY75"/>
    <mergeCell ref="AA76:AY76"/>
    <mergeCell ref="AA77:AY77"/>
    <mergeCell ref="AA78:AY78"/>
    <mergeCell ref="AA79:AY79"/>
    <mergeCell ref="AA80:AY80"/>
    <mergeCell ref="BB126:BM141"/>
    <mergeCell ref="BB69:BM69"/>
    <mergeCell ref="BB107:BE107"/>
    <mergeCell ref="D113:E113"/>
    <mergeCell ref="F113:AY113"/>
    <mergeCell ref="BB111:BM112"/>
    <mergeCell ref="AA81:AY81"/>
    <mergeCell ref="AA82:AY82"/>
    <mergeCell ref="AA83:AY83"/>
    <mergeCell ref="AA84:AY84"/>
    <mergeCell ref="AA85:AY85"/>
    <mergeCell ref="AA86:AY86"/>
    <mergeCell ref="AA87:AY87"/>
    <mergeCell ref="AA88:AY88"/>
    <mergeCell ref="AA89:AY89"/>
    <mergeCell ref="D81:Z81"/>
    <mergeCell ref="D82:Z82"/>
    <mergeCell ref="D83:Z83"/>
    <mergeCell ref="D84:Z84"/>
    <mergeCell ref="D85:Z85"/>
    <mergeCell ref="D86:Z86"/>
    <mergeCell ref="D87:Z87"/>
    <mergeCell ref="D88:Z88"/>
    <mergeCell ref="D89:Z89"/>
  </mergeCells>
  <phoneticPr fontId="12" type="noConversion"/>
  <conditionalFormatting sqref="BC2">
    <cfRule type="expression" dxfId="3" priority="1">
      <formula>$BC$2="O.K."</formula>
    </cfRule>
  </conditionalFormatting>
  <dataValidations count="1">
    <dataValidation type="list" allowBlank="1" showInputMessage="1" sqref="P32:AY32" xr:uid="{00000000-0002-0000-0600-000000000000}">
      <formula1>$BG$32:$BG$33</formula1>
    </dataValidation>
  </dataValidations>
  <printOptions horizontalCentered="1"/>
  <pageMargins left="0.78740157480314965" right="0.78740157480314965" top="0.78740157480314965" bottom="0.78740157480314965" header="0" footer="0.23622047244094491"/>
  <pageSetup paperSize="9" scale="97" fitToHeight="0" orientation="portrait" r:id="rId1"/>
  <headerFooter differentFirst="1" alignWithMargins="0">
    <oddFooter>&amp;R&amp;"Times New Roman,Normálne"&amp;12&amp;P/&amp;N</oddFooter>
    <firstFooter>&amp;L&amp;"Times New Roman,Tučné"&amp;12 1+113+01+01+0122&amp;R&amp;"Times New Roman,Normálne"&amp;12&amp;P/&amp;N</first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4" r:id="rId4" name="Button 4">
              <controlPr defaultSize="0" print="0" autoFill="0" autoPict="0" macro="[0]!PDF_PZ_ICO">
                <anchor moveWithCells="1" sizeWithCells="1">
                  <from>
                    <xdr:col>54</xdr:col>
                    <xdr:colOff>76200</xdr:colOff>
                    <xdr:row>6</xdr:row>
                    <xdr:rowOff>312420</xdr:rowOff>
                  </from>
                  <to>
                    <xdr:col>55</xdr:col>
                    <xdr:colOff>601980</xdr:colOff>
                    <xdr:row>10</xdr:row>
                    <xdr:rowOff>99060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pageSetUpPr fitToPage="1"/>
  </sheetPr>
  <dimension ref="D2:BC50"/>
  <sheetViews>
    <sheetView zoomScaleNormal="100" workbookViewId="0"/>
  </sheetViews>
  <sheetFormatPr defaultColWidth="9.109375" defaultRowHeight="13.8"/>
  <cols>
    <col min="1" max="2" width="1.88671875" style="48" customWidth="1"/>
    <col min="3" max="3" width="0.44140625" style="48" customWidth="1"/>
    <col min="4" max="21" width="1.88671875" style="48" customWidth="1"/>
    <col min="22" max="22" width="2.5546875" style="48" customWidth="1"/>
    <col min="23" max="49" width="1.88671875" style="48" customWidth="1"/>
    <col min="50" max="50" width="0.6640625" style="48" customWidth="1"/>
    <col min="51" max="51" width="11.88671875" style="48" bestFit="1" customWidth="1"/>
    <col min="52" max="52" width="9.109375" style="219"/>
    <col min="53" max="16384" width="9.109375" style="48"/>
  </cols>
  <sheetData>
    <row r="2" spans="4:52" ht="15.75" customHeight="1">
      <c r="AQ2" s="187" t="s">
        <v>118</v>
      </c>
      <c r="AR2" s="583" t="str">
        <f>IF(vstupne_udaje!D4="xx-1xxxxx","",vstupne_udaje!D4)</f>
        <v/>
      </c>
      <c r="AS2" s="583"/>
      <c r="AT2" s="583"/>
      <c r="AU2" s="583"/>
      <c r="AV2" s="583"/>
      <c r="AW2" s="583"/>
      <c r="AX2" s="583"/>
    </row>
    <row r="3" spans="4:52" ht="15.75" customHeight="1">
      <c r="AQ3" s="187" t="s">
        <v>167</v>
      </c>
      <c r="AR3" s="583">
        <v>1</v>
      </c>
      <c r="AS3" s="583"/>
      <c r="AT3" s="583"/>
      <c r="AU3" s="583"/>
      <c r="AV3" s="583"/>
      <c r="AW3" s="583"/>
    </row>
    <row r="4" spans="4:52" ht="8.25" customHeight="1"/>
    <row r="5" spans="4:52" ht="16.5" customHeight="1"/>
    <row r="6" spans="4:52" ht="52.5" customHeight="1">
      <c r="D6" s="584" t="s">
        <v>293</v>
      </c>
      <c r="E6" s="585"/>
      <c r="F6" s="585"/>
      <c r="G6" s="585"/>
      <c r="H6" s="585"/>
      <c r="I6" s="585"/>
      <c r="J6" s="585"/>
      <c r="K6" s="585"/>
      <c r="L6" s="585"/>
      <c r="M6" s="585"/>
      <c r="N6" s="585"/>
      <c r="O6" s="585"/>
      <c r="P6" s="585"/>
      <c r="Q6" s="585"/>
      <c r="R6" s="585"/>
      <c r="S6" s="585"/>
      <c r="T6" s="585"/>
      <c r="U6" s="585"/>
      <c r="V6" s="585"/>
      <c r="W6" s="585"/>
      <c r="X6" s="585"/>
      <c r="Y6" s="585"/>
      <c r="Z6" s="585"/>
      <c r="AA6" s="585"/>
      <c r="AB6" s="585"/>
      <c r="AC6" s="585"/>
      <c r="AD6" s="585"/>
      <c r="AE6" s="585"/>
      <c r="AF6" s="585"/>
      <c r="AG6" s="585"/>
      <c r="AH6" s="585"/>
      <c r="AI6" s="585"/>
      <c r="AJ6" s="585"/>
      <c r="AK6" s="585"/>
      <c r="AL6" s="585"/>
      <c r="AM6" s="585"/>
      <c r="AN6" s="585"/>
      <c r="AO6" s="585"/>
      <c r="AP6" s="585"/>
      <c r="AQ6" s="585"/>
      <c r="AR6" s="585"/>
      <c r="AS6" s="585"/>
      <c r="AT6" s="585"/>
      <c r="AU6" s="585"/>
      <c r="AV6" s="585"/>
      <c r="AW6" s="585"/>
      <c r="AX6" s="188"/>
    </row>
    <row r="7" spans="4:52" ht="12.75" customHeight="1"/>
    <row r="8" spans="4:52" ht="14.4" customHeight="1">
      <c r="D8" s="310" t="s">
        <v>168</v>
      </c>
      <c r="E8" s="311"/>
      <c r="F8" s="311"/>
      <c r="G8" s="311"/>
      <c r="H8" s="311"/>
      <c r="I8" s="311"/>
      <c r="J8" s="311"/>
      <c r="K8" s="311"/>
      <c r="L8" s="311"/>
      <c r="M8" s="311"/>
      <c r="N8" s="311"/>
      <c r="O8" s="311"/>
      <c r="P8" s="311"/>
      <c r="Q8" s="311"/>
      <c r="R8" s="311"/>
      <c r="S8" s="311"/>
      <c r="T8" s="311"/>
      <c r="U8" s="311"/>
      <c r="V8" s="324"/>
      <c r="W8" s="592">
        <f ca="1">IF(Poistne!$G$4="O.K.",Poistne!C13,"")</f>
        <v>100</v>
      </c>
      <c r="X8" s="592"/>
      <c r="Y8" s="592"/>
      <c r="Z8" s="592"/>
      <c r="AA8" s="592"/>
      <c r="AB8" s="312"/>
      <c r="AC8" s="312"/>
      <c r="AD8" s="312"/>
      <c r="AE8" s="312"/>
      <c r="AF8" s="312"/>
      <c r="AG8" s="312"/>
      <c r="AH8" s="312"/>
      <c r="AI8" s="312"/>
      <c r="AJ8" s="312"/>
      <c r="AK8" s="312"/>
      <c r="AL8" s="312"/>
      <c r="AM8" s="312"/>
      <c r="AN8" s="312"/>
      <c r="AO8" s="312"/>
      <c r="AP8" s="312"/>
      <c r="AQ8" s="312"/>
      <c r="AR8" s="312"/>
      <c r="AS8" s="312"/>
      <c r="AT8" s="312"/>
      <c r="AU8" s="312"/>
      <c r="AV8" s="312"/>
      <c r="AW8" s="313"/>
      <c r="AZ8" s="189"/>
    </row>
    <row r="9" spans="4:52" ht="3" customHeight="1">
      <c r="D9" s="314"/>
      <c r="E9" s="301"/>
      <c r="F9" s="301"/>
      <c r="G9" s="301"/>
      <c r="H9" s="301"/>
      <c r="I9" s="301"/>
      <c r="J9" s="301"/>
      <c r="K9" s="301"/>
      <c r="L9" s="301"/>
      <c r="M9" s="301"/>
      <c r="N9" s="301"/>
      <c r="O9" s="301"/>
      <c r="P9" s="301"/>
      <c r="Q9" s="301"/>
      <c r="R9" s="301"/>
      <c r="S9" s="301"/>
      <c r="T9" s="301"/>
      <c r="U9" s="301"/>
      <c r="V9" s="414"/>
      <c r="W9" s="415"/>
      <c r="X9" s="414"/>
      <c r="Y9" s="414"/>
      <c r="Z9" s="414"/>
      <c r="AA9" s="414"/>
      <c r="AB9" s="414"/>
      <c r="AC9" s="414"/>
      <c r="AD9" s="414"/>
      <c r="AE9" s="414"/>
      <c r="AF9" s="414"/>
      <c r="AG9" s="414"/>
      <c r="AH9" s="414"/>
      <c r="AI9" s="414"/>
      <c r="AJ9" s="414"/>
      <c r="AK9" s="414"/>
      <c r="AL9" s="414"/>
      <c r="AM9" s="414"/>
      <c r="AN9" s="414"/>
      <c r="AO9" s="414"/>
      <c r="AP9" s="414"/>
      <c r="AQ9" s="414"/>
      <c r="AR9" s="414"/>
      <c r="AS9" s="414"/>
      <c r="AT9" s="414"/>
      <c r="AU9" s="414"/>
      <c r="AV9" s="414"/>
      <c r="AW9" s="416"/>
      <c r="AZ9" s="189"/>
    </row>
    <row r="10" spans="4:52" ht="14.4" customHeight="1">
      <c r="D10" s="306" t="s">
        <v>169</v>
      </c>
      <c r="E10" s="307"/>
      <c r="F10" s="307"/>
      <c r="G10" s="307"/>
      <c r="H10" s="307"/>
      <c r="I10" s="307"/>
      <c r="J10" s="307"/>
      <c r="K10" s="307"/>
      <c r="L10" s="307"/>
      <c r="M10" s="307"/>
      <c r="N10" s="307"/>
      <c r="O10" s="307"/>
      <c r="P10" s="307"/>
      <c r="Q10" s="307"/>
      <c r="R10" s="307"/>
      <c r="S10" s="307"/>
      <c r="T10" s="307"/>
      <c r="U10" s="307"/>
      <c r="V10" s="307"/>
      <c r="W10" s="579">
        <f ca="1">IF(Poistne!$G$4="O.K.",Poistne!C26,"")</f>
        <v>30</v>
      </c>
      <c r="X10" s="580"/>
      <c r="Y10" s="580"/>
      <c r="Z10" s="580"/>
      <c r="AA10" s="580"/>
      <c r="AB10" s="315"/>
      <c r="AC10" s="315"/>
      <c r="AD10" s="315"/>
      <c r="AE10" s="315"/>
      <c r="AF10" s="315"/>
      <c r="AG10" s="315"/>
      <c r="AH10" s="315"/>
      <c r="AI10" s="315"/>
      <c r="AJ10" s="315"/>
      <c r="AK10" s="315"/>
      <c r="AL10" s="315"/>
      <c r="AM10" s="315"/>
      <c r="AN10" s="315"/>
      <c r="AO10" s="315"/>
      <c r="AP10" s="315"/>
      <c r="AQ10" s="315"/>
      <c r="AR10" s="315"/>
      <c r="AS10" s="315"/>
      <c r="AT10" s="315"/>
      <c r="AU10" s="315"/>
      <c r="AV10" s="315"/>
      <c r="AW10" s="316"/>
      <c r="AZ10" s="189"/>
    </row>
    <row r="11" spans="4:52" ht="3" customHeight="1">
      <c r="D11" s="314"/>
      <c r="E11" s="301"/>
      <c r="F11" s="301"/>
      <c r="G11" s="301"/>
      <c r="H11" s="301"/>
      <c r="I11" s="301"/>
      <c r="J11" s="301"/>
      <c r="K11" s="301"/>
      <c r="L11" s="301"/>
      <c r="M11" s="301"/>
      <c r="N11" s="301"/>
      <c r="O11" s="301"/>
      <c r="P11" s="301"/>
      <c r="Q11" s="301"/>
      <c r="R11" s="301"/>
      <c r="S11" s="301"/>
      <c r="T11" s="301"/>
      <c r="U11" s="301"/>
      <c r="V11" s="308"/>
      <c r="W11" s="303"/>
      <c r="X11" s="303"/>
      <c r="Y11" s="303"/>
      <c r="Z11" s="303"/>
      <c r="AA11" s="303"/>
      <c r="AB11" s="303"/>
      <c r="AC11" s="303"/>
      <c r="AD11" s="303"/>
      <c r="AE11" s="303"/>
      <c r="AF11" s="303"/>
      <c r="AG11" s="303"/>
      <c r="AH11" s="303"/>
      <c r="AI11" s="303"/>
      <c r="AJ11" s="303"/>
      <c r="AK11" s="303"/>
      <c r="AL11" s="303"/>
      <c r="AM11" s="303"/>
      <c r="AN11" s="303"/>
      <c r="AO11" s="303"/>
      <c r="AP11" s="303"/>
      <c r="AQ11" s="303"/>
      <c r="AR11" s="303"/>
      <c r="AS11" s="303"/>
      <c r="AT11" s="303"/>
      <c r="AU11" s="303"/>
      <c r="AV11" s="303"/>
      <c r="AW11" s="304"/>
    </row>
    <row r="12" spans="4:52" ht="14.4" customHeight="1">
      <c r="D12" s="306" t="s">
        <v>275</v>
      </c>
      <c r="E12" s="307"/>
      <c r="F12" s="307"/>
      <c r="G12" s="307"/>
      <c r="H12" s="307"/>
      <c r="I12" s="307"/>
      <c r="J12" s="307"/>
      <c r="K12" s="307"/>
      <c r="L12" s="307"/>
      <c r="M12" s="307"/>
      <c r="N12" s="307"/>
      <c r="O12" s="307"/>
      <c r="P12" s="307"/>
      <c r="Q12" s="307"/>
      <c r="R12" s="307"/>
      <c r="S12" s="307"/>
      <c r="T12" s="307"/>
      <c r="U12" s="307"/>
      <c r="V12" s="309"/>
      <c r="W12" s="591" t="str">
        <f ca="1">IF(AND(test1="O.K.",test2="O.K."),IF(Poistne!E39=TRUE,Poistne!R22,Poistne!Q22),"?")</f>
        <v>?</v>
      </c>
      <c r="X12" s="591"/>
      <c r="Y12" s="591"/>
      <c r="Z12" s="591"/>
      <c r="AA12" s="591"/>
      <c r="AB12" s="317" t="s">
        <v>251</v>
      </c>
      <c r="AC12" s="317"/>
      <c r="AD12" s="317"/>
      <c r="AE12" s="317"/>
      <c r="AF12" s="317"/>
      <c r="AG12" s="317"/>
      <c r="AH12" s="317"/>
      <c r="AI12" s="317"/>
      <c r="AJ12" s="317"/>
      <c r="AK12" s="317"/>
      <c r="AL12" s="317"/>
      <c r="AM12" s="317"/>
      <c r="AN12" s="317"/>
      <c r="AO12" s="317"/>
      <c r="AP12" s="317"/>
      <c r="AQ12" s="317"/>
      <c r="AR12" s="317"/>
      <c r="AS12" s="317"/>
      <c r="AT12" s="317"/>
      <c r="AU12" s="317"/>
      <c r="AV12" s="317"/>
      <c r="AW12" s="318"/>
    </row>
    <row r="13" spans="4:52" ht="3" customHeight="1">
      <c r="D13" s="314"/>
      <c r="E13" s="301"/>
      <c r="F13" s="301"/>
      <c r="G13" s="301"/>
      <c r="H13" s="301"/>
      <c r="I13" s="301"/>
      <c r="J13" s="301"/>
      <c r="K13" s="301"/>
      <c r="L13" s="301"/>
      <c r="M13" s="301"/>
      <c r="N13" s="301"/>
      <c r="O13" s="301"/>
      <c r="P13" s="301"/>
      <c r="Q13" s="301"/>
      <c r="R13" s="301"/>
      <c r="S13" s="301"/>
      <c r="T13" s="301"/>
      <c r="U13" s="301"/>
      <c r="V13" s="308"/>
      <c r="W13" s="301"/>
      <c r="X13" s="301"/>
      <c r="Y13" s="301"/>
      <c r="Z13" s="301"/>
      <c r="AA13" s="301"/>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8"/>
    </row>
    <row r="14" spans="4:52" ht="14.4" customHeight="1">
      <c r="D14" s="323" t="s">
        <v>274</v>
      </c>
      <c r="E14" s="307"/>
      <c r="F14" s="307"/>
      <c r="G14" s="307"/>
      <c r="H14" s="307"/>
      <c r="I14" s="307"/>
      <c r="J14" s="307"/>
      <c r="K14" s="307"/>
      <c r="L14" s="307"/>
      <c r="M14" s="307"/>
      <c r="N14" s="307"/>
      <c r="O14" s="307"/>
      <c r="P14" s="307"/>
      <c r="Q14" s="307"/>
      <c r="R14" s="307"/>
      <c r="S14" s="307"/>
      <c r="T14" s="307"/>
      <c r="U14" s="307"/>
      <c r="V14" s="309"/>
      <c r="W14" s="591" t="str">
        <f ca="1">IF(AND(test1="O.K.",test2="O.K.",zamest=TRUE),IF(Poistne!E39=TRUE,Poistne!R32,Poistne!Q32),"?")</f>
        <v>?</v>
      </c>
      <c r="X14" s="591"/>
      <c r="Y14" s="591"/>
      <c r="Z14" s="591"/>
      <c r="AA14" s="591"/>
      <c r="AB14" s="317" t="s">
        <v>251</v>
      </c>
      <c r="AC14" s="317"/>
      <c r="AD14" s="317"/>
      <c r="AE14" s="317"/>
      <c r="AF14" s="317"/>
      <c r="AG14" s="317"/>
      <c r="AH14" s="317"/>
      <c r="AI14" s="317"/>
      <c r="AJ14" s="317"/>
      <c r="AK14" s="317"/>
      <c r="AL14" s="317"/>
      <c r="AM14" s="317"/>
      <c r="AN14" s="317"/>
      <c r="AO14" s="317"/>
      <c r="AP14" s="317"/>
      <c r="AQ14" s="317"/>
      <c r="AR14" s="317"/>
      <c r="AS14" s="317"/>
      <c r="AT14" s="317"/>
      <c r="AU14" s="317"/>
      <c r="AV14" s="317"/>
      <c r="AW14" s="318"/>
    </row>
    <row r="15" spans="4:52" ht="14.4" customHeight="1">
      <c r="D15" s="593" t="str">
        <f>IF(doba="neurčitá",CONCATENATE("* Poistné za prvé poistné obdobie od ",DAY(Poistne!C5),".",MONTH(Poistne!C5),".",YEAR(Poistne!C5)," do 31.8",".",Poistne!Q5),IF(doba="určitá",CONCATENATE("* Poistné za dobu trvania poistenia od ",DAY(Poistne!C5),".",MONTH(Poistne!C5),".",YEAR(Poistne!C5)," do ",DAY(Poistne!C7),".",MONTH(Poistne!C7),".",YEAR(Poistne!C7)),""))</f>
        <v>* Poistné za dobu trvania poistenia od 1.9.2022 do 31.8.2023</v>
      </c>
      <c r="E15" s="594"/>
      <c r="F15" s="594"/>
      <c r="G15" s="594"/>
      <c r="H15" s="594"/>
      <c r="I15" s="594"/>
      <c r="J15" s="594"/>
      <c r="K15" s="594"/>
      <c r="L15" s="594"/>
      <c r="M15" s="594"/>
      <c r="N15" s="594"/>
      <c r="O15" s="594"/>
      <c r="P15" s="594"/>
      <c r="Q15" s="594"/>
      <c r="R15" s="594"/>
      <c r="S15" s="594"/>
      <c r="T15" s="594"/>
      <c r="U15" s="594"/>
      <c r="V15" s="594"/>
      <c r="W15" s="594"/>
      <c r="X15" s="594"/>
      <c r="Y15" s="594"/>
      <c r="Z15" s="594"/>
      <c r="AA15" s="594"/>
      <c r="AB15" s="594"/>
      <c r="AC15" s="594"/>
      <c r="AD15" s="594"/>
      <c r="AE15" s="594"/>
      <c r="AF15" s="594"/>
      <c r="AG15" s="594"/>
      <c r="AH15" s="594"/>
      <c r="AI15" s="594"/>
      <c r="AJ15" s="594"/>
      <c r="AK15" s="594"/>
      <c r="AL15" s="594"/>
      <c r="AM15" s="594"/>
      <c r="AN15" s="594"/>
      <c r="AO15" s="594"/>
      <c r="AP15" s="594"/>
      <c r="AQ15" s="207"/>
      <c r="AR15" s="207"/>
      <c r="AS15" s="207"/>
      <c r="AT15" s="207"/>
      <c r="AU15" s="207"/>
      <c r="AV15" s="207"/>
      <c r="AW15" s="214"/>
    </row>
    <row r="16" spans="4:52" ht="3" customHeight="1">
      <c r="D16" s="319"/>
      <c r="E16" s="320"/>
      <c r="F16" s="320"/>
      <c r="G16" s="320"/>
      <c r="H16" s="320"/>
      <c r="I16" s="320"/>
      <c r="J16" s="320"/>
      <c r="K16" s="320"/>
      <c r="L16" s="320"/>
      <c r="M16" s="320"/>
      <c r="N16" s="320"/>
      <c r="O16" s="320"/>
      <c r="P16" s="320"/>
      <c r="Q16" s="320"/>
      <c r="R16" s="320"/>
      <c r="S16" s="320"/>
      <c r="T16" s="320"/>
      <c r="U16" s="320"/>
      <c r="V16" s="321"/>
      <c r="W16" s="320"/>
      <c r="X16" s="320"/>
      <c r="Y16" s="320"/>
      <c r="Z16" s="320"/>
      <c r="AA16" s="320"/>
      <c r="AB16" s="320"/>
      <c r="AC16" s="320"/>
      <c r="AD16" s="320"/>
      <c r="AE16" s="320"/>
      <c r="AF16" s="320"/>
      <c r="AG16" s="320"/>
      <c r="AH16" s="320"/>
      <c r="AI16" s="320"/>
      <c r="AJ16" s="320"/>
      <c r="AK16" s="320"/>
      <c r="AL16" s="320"/>
      <c r="AM16" s="320"/>
      <c r="AN16" s="320"/>
      <c r="AO16" s="320"/>
      <c r="AP16" s="320"/>
      <c r="AQ16" s="320"/>
      <c r="AR16" s="320"/>
      <c r="AS16" s="320"/>
      <c r="AT16" s="320"/>
      <c r="AU16" s="320"/>
      <c r="AV16" s="320"/>
      <c r="AW16" s="321"/>
    </row>
    <row r="17" spans="4:55" ht="38.25" hidden="1" customHeight="1">
      <c r="D17" s="595" t="s">
        <v>330</v>
      </c>
      <c r="E17" s="596"/>
      <c r="F17" s="596"/>
      <c r="G17" s="596"/>
      <c r="H17" s="596"/>
      <c r="I17" s="596"/>
      <c r="J17" s="596"/>
      <c r="K17" s="596"/>
      <c r="L17" s="596"/>
      <c r="M17" s="596"/>
      <c r="N17" s="596"/>
      <c r="O17" s="596"/>
      <c r="P17" s="596"/>
      <c r="Q17" s="596"/>
      <c r="R17" s="596"/>
      <c r="S17" s="596"/>
      <c r="T17" s="596"/>
      <c r="U17" s="596"/>
      <c r="V17" s="309"/>
      <c r="W17" s="590" t="str">
        <f ca="1">IF(AND(test1="O.K.",test2="O.K.",Poistne!C6="neurčitá"),IF(Poistne!E25=TRUE,W8*W12+W10*W14,W8*W12),"")</f>
        <v/>
      </c>
      <c r="X17" s="591"/>
      <c r="Y17" s="591"/>
      <c r="Z17" s="591"/>
      <c r="AA17" s="591"/>
      <c r="AB17" s="317" t="s">
        <v>251</v>
      </c>
      <c r="AC17" s="317"/>
      <c r="AD17" s="317"/>
      <c r="AE17" s="317"/>
      <c r="AF17" s="317"/>
      <c r="AG17" s="317"/>
      <c r="AH17" s="317"/>
      <c r="AI17" s="317"/>
      <c r="AJ17" s="317"/>
      <c r="AK17" s="317"/>
      <c r="AL17" s="317"/>
      <c r="AM17" s="317"/>
      <c r="AN17" s="317"/>
      <c r="AO17" s="317"/>
      <c r="AP17" s="317"/>
      <c r="AQ17" s="317"/>
      <c r="AR17" s="317"/>
      <c r="AS17" s="317"/>
      <c r="AT17" s="317"/>
      <c r="AU17" s="317"/>
      <c r="AV17" s="317"/>
      <c r="AW17" s="318"/>
      <c r="AY17" s="269" t="e">
        <f ca="1">W8*W12+W10*W14</f>
        <v>#VALUE!</v>
      </c>
    </row>
    <row r="18" spans="4:55" ht="31.5" customHeight="1">
      <c r="D18" s="595" t="s">
        <v>273</v>
      </c>
      <c r="E18" s="596"/>
      <c r="F18" s="596"/>
      <c r="G18" s="596"/>
      <c r="H18" s="596"/>
      <c r="I18" s="596"/>
      <c r="J18" s="596"/>
      <c r="K18" s="596"/>
      <c r="L18" s="596"/>
      <c r="M18" s="596"/>
      <c r="N18" s="596"/>
      <c r="O18" s="596"/>
      <c r="P18" s="596"/>
      <c r="Q18" s="596"/>
      <c r="R18" s="596"/>
      <c r="S18" s="596"/>
      <c r="T18" s="596"/>
      <c r="U18" s="596"/>
      <c r="V18" s="309"/>
      <c r="W18" s="590" t="str">
        <f ca="1">IF(AND(test1="O.K.",test2="O.K."),IF(Poistne!E39=TRUE,Poistne!D43,Poistne!D35),"?")</f>
        <v>?</v>
      </c>
      <c r="X18" s="591"/>
      <c r="Y18" s="591"/>
      <c r="Z18" s="591"/>
      <c r="AA18" s="591"/>
      <c r="AB18" s="317" t="s">
        <v>251</v>
      </c>
      <c r="AC18" s="317"/>
      <c r="AD18" s="317"/>
      <c r="AE18" s="317"/>
      <c r="AF18" s="317"/>
      <c r="AG18" s="317"/>
      <c r="AH18" s="317"/>
      <c r="AI18" s="317"/>
      <c r="AJ18" s="317"/>
      <c r="AK18" s="317"/>
      <c r="AL18" s="317"/>
      <c r="AM18" s="317"/>
      <c r="AN18" s="317"/>
      <c r="AO18" s="317"/>
      <c r="AP18" s="317"/>
      <c r="AQ18" s="317"/>
      <c r="AR18" s="317"/>
      <c r="AS18" s="317"/>
      <c r="AT18" s="317"/>
      <c r="AU18" s="317"/>
      <c r="AV18" s="317"/>
      <c r="AW18" s="318"/>
    </row>
    <row r="19" spans="4:55" ht="3" customHeight="1">
      <c r="D19" s="314"/>
      <c r="E19" s="301"/>
      <c r="F19" s="301"/>
      <c r="G19" s="301"/>
      <c r="H19" s="301"/>
      <c r="I19" s="301"/>
      <c r="J19" s="301"/>
      <c r="K19" s="301"/>
      <c r="L19" s="301"/>
      <c r="M19" s="301"/>
      <c r="N19" s="301"/>
      <c r="O19" s="301"/>
      <c r="P19" s="301"/>
      <c r="Q19" s="301"/>
      <c r="R19" s="301"/>
      <c r="S19" s="301"/>
      <c r="T19" s="301"/>
      <c r="U19" s="301"/>
      <c r="V19" s="308"/>
      <c r="W19" s="301"/>
      <c r="X19" s="301"/>
      <c r="Y19" s="301"/>
      <c r="Z19" s="301"/>
      <c r="AA19" s="301"/>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8"/>
    </row>
    <row r="20" spans="4:55" ht="27" customHeight="1">
      <c r="D20" s="322" t="str">
        <f>IF(subjek="áno","Poistník:",IF(subjek="nie","Poistník:",""))</f>
        <v/>
      </c>
      <c r="E20" s="307"/>
      <c r="F20" s="307"/>
      <c r="G20" s="307"/>
      <c r="H20" s="307"/>
      <c r="I20" s="307"/>
      <c r="J20" s="307"/>
      <c r="K20" s="307"/>
      <c r="L20" s="307"/>
      <c r="M20" s="307"/>
      <c r="N20" s="307"/>
      <c r="O20" s="307"/>
      <c r="P20" s="307"/>
      <c r="Q20" s="307"/>
      <c r="R20" s="307"/>
      <c r="S20" s="307"/>
      <c r="T20" s="307"/>
      <c r="U20" s="307"/>
      <c r="V20" s="309"/>
      <c r="W20" s="586" t="str">
        <f ca="1">IF(AND(test1="O.K.",test2="O.K."),CONCATENATE(vstupne_udaje!D11,", ",vstupne_udaje!D12,", ",vstupne_udaje!D13,"  ",vstupne_udaje!D14),"?")</f>
        <v>?</v>
      </c>
      <c r="X20" s="586"/>
      <c r="Y20" s="586"/>
      <c r="Z20" s="586"/>
      <c r="AA20" s="586"/>
      <c r="AB20" s="586"/>
      <c r="AC20" s="586"/>
      <c r="AD20" s="586"/>
      <c r="AE20" s="586"/>
      <c r="AF20" s="586"/>
      <c r="AG20" s="586"/>
      <c r="AH20" s="586"/>
      <c r="AI20" s="586"/>
      <c r="AJ20" s="586"/>
      <c r="AK20" s="586"/>
      <c r="AL20" s="586"/>
      <c r="AM20" s="586"/>
      <c r="AN20" s="586"/>
      <c r="AO20" s="586"/>
      <c r="AP20" s="586"/>
      <c r="AQ20" s="586"/>
      <c r="AR20" s="586"/>
      <c r="AS20" s="586"/>
      <c r="AT20" s="586"/>
      <c r="AU20" s="586"/>
      <c r="AV20" s="586"/>
      <c r="AW20" s="587"/>
    </row>
    <row r="21" spans="4:55" ht="3" customHeight="1">
      <c r="D21" s="302"/>
      <c r="E21" s="303"/>
      <c r="F21" s="303"/>
      <c r="G21" s="303"/>
      <c r="H21" s="303"/>
      <c r="I21" s="303"/>
      <c r="J21" s="303"/>
      <c r="K21" s="303"/>
      <c r="L21" s="303"/>
      <c r="M21" s="303"/>
      <c r="N21" s="303"/>
      <c r="O21" s="303"/>
      <c r="P21" s="303"/>
      <c r="Q21" s="303"/>
      <c r="R21" s="303"/>
      <c r="S21" s="303"/>
      <c r="T21" s="303"/>
      <c r="U21" s="303"/>
      <c r="V21" s="304"/>
      <c r="W21" s="303"/>
      <c r="X21" s="303"/>
      <c r="Y21" s="303"/>
      <c r="Z21" s="303"/>
      <c r="AA21" s="303"/>
      <c r="AB21" s="303"/>
      <c r="AC21" s="303"/>
      <c r="AD21" s="303"/>
      <c r="AE21" s="303"/>
      <c r="AF21" s="303"/>
      <c r="AG21" s="303"/>
      <c r="AH21" s="303"/>
      <c r="AI21" s="303"/>
      <c r="AJ21" s="303"/>
      <c r="AK21" s="303"/>
      <c r="AL21" s="303"/>
      <c r="AM21" s="303"/>
      <c r="AN21" s="303"/>
      <c r="AO21" s="303"/>
      <c r="AP21" s="303"/>
      <c r="AQ21" s="303"/>
      <c r="AR21" s="303"/>
      <c r="AS21" s="303"/>
      <c r="AT21" s="303"/>
      <c r="AU21" s="303"/>
      <c r="AV21" s="303"/>
      <c r="AW21" s="304"/>
    </row>
    <row r="22" spans="4:55" ht="3" customHeight="1">
      <c r="D22" s="305" t="str">
        <f>IF(subjek="áno","",IF(subjek="nie","Škola (názov a sídlo):",""))</f>
        <v/>
      </c>
      <c r="E22" s="303"/>
      <c r="F22" s="303"/>
      <c r="G22" s="303"/>
      <c r="H22" s="303"/>
      <c r="I22" s="303"/>
      <c r="J22" s="303"/>
      <c r="K22" s="303"/>
      <c r="L22" s="303"/>
      <c r="M22" s="303"/>
      <c r="N22" s="303"/>
      <c r="O22" s="303"/>
      <c r="P22" s="303"/>
      <c r="Q22" s="303"/>
      <c r="R22" s="303"/>
      <c r="S22" s="303"/>
      <c r="T22" s="303"/>
      <c r="U22" s="303"/>
      <c r="V22" s="304"/>
      <c r="W22" s="588" t="str">
        <f ca="1">IF(AND(test1="O.K.",test2="O.K.",subjek="nie"),CONCATENATE(vstupne_udaje!D23,", ",vstupne_udaje!D24,", ",vstupne_udaje!D25,"  ",vstupne_udaje!D26),"?")</f>
        <v>?</v>
      </c>
      <c r="X22" s="588"/>
      <c r="Y22" s="588"/>
      <c r="Z22" s="588"/>
      <c r="AA22" s="588"/>
      <c r="AB22" s="588"/>
      <c r="AC22" s="588"/>
      <c r="AD22" s="588"/>
      <c r="AE22" s="588"/>
      <c r="AF22" s="588"/>
      <c r="AG22" s="588"/>
      <c r="AH22" s="588"/>
      <c r="AI22" s="588"/>
      <c r="AJ22" s="588"/>
      <c r="AK22" s="588"/>
      <c r="AL22" s="588"/>
      <c r="AM22" s="588"/>
      <c r="AN22" s="588"/>
      <c r="AO22" s="588"/>
      <c r="AP22" s="588"/>
      <c r="AQ22" s="588"/>
      <c r="AR22" s="588"/>
      <c r="AS22" s="588"/>
      <c r="AT22" s="588"/>
      <c r="AU22" s="588"/>
      <c r="AV22" s="588"/>
      <c r="AW22" s="589"/>
    </row>
    <row r="23" spans="4:55" ht="3" customHeight="1">
      <c r="D23" s="302"/>
      <c r="E23" s="303"/>
      <c r="F23" s="303"/>
      <c r="G23" s="303"/>
      <c r="H23" s="303"/>
      <c r="I23" s="303"/>
      <c r="J23" s="303"/>
      <c r="K23" s="303"/>
      <c r="L23" s="303"/>
      <c r="M23" s="303"/>
      <c r="N23" s="303"/>
      <c r="O23" s="303"/>
      <c r="P23" s="303"/>
      <c r="Q23" s="303"/>
      <c r="R23" s="303"/>
      <c r="S23" s="303"/>
      <c r="T23" s="303"/>
      <c r="U23" s="303"/>
      <c r="V23" s="304"/>
      <c r="W23" s="303"/>
      <c r="X23" s="303"/>
      <c r="Y23" s="303"/>
      <c r="Z23" s="303"/>
      <c r="AA23" s="303"/>
      <c r="AB23" s="303"/>
      <c r="AC23" s="303"/>
      <c r="AD23" s="303"/>
      <c r="AE23" s="303"/>
      <c r="AF23" s="303"/>
      <c r="AG23" s="303"/>
      <c r="AH23" s="303"/>
      <c r="AI23" s="303"/>
      <c r="AJ23" s="303"/>
      <c r="AK23" s="303"/>
      <c r="AL23" s="303"/>
      <c r="AM23" s="303"/>
      <c r="AN23" s="303"/>
      <c r="AO23" s="303"/>
      <c r="AP23" s="303"/>
      <c r="AQ23" s="303"/>
      <c r="AR23" s="303"/>
      <c r="AS23" s="303"/>
      <c r="AT23" s="303"/>
      <c r="AU23" s="303"/>
      <c r="AV23" s="303"/>
      <c r="AW23" s="304"/>
    </row>
    <row r="24" spans="4:55" ht="14.4" customHeight="1">
      <c r="D24" s="306" t="s">
        <v>42</v>
      </c>
      <c r="E24" s="307"/>
      <c r="F24" s="307"/>
      <c r="G24" s="307"/>
      <c r="H24" s="307"/>
      <c r="I24" s="307"/>
      <c r="J24" s="307"/>
      <c r="K24" s="307"/>
      <c r="L24" s="307"/>
      <c r="M24" s="307"/>
      <c r="N24" s="307"/>
      <c r="O24" s="307"/>
      <c r="P24" s="307"/>
      <c r="Q24" s="307"/>
      <c r="R24" s="307"/>
      <c r="S24" s="307"/>
      <c r="T24" s="307"/>
      <c r="U24" s="307"/>
      <c r="V24" s="309"/>
      <c r="W24" s="581" t="str">
        <f ca="1">IF(AND(test1="O.K.",test2="O.K."),vstupne_udaje!D18,"?")</f>
        <v>?</v>
      </c>
      <c r="X24" s="581"/>
      <c r="Y24" s="581"/>
      <c r="Z24" s="581"/>
      <c r="AA24" s="581"/>
      <c r="AB24" s="581"/>
      <c r="AC24" s="581"/>
      <c r="AD24" s="581"/>
      <c r="AE24" s="581"/>
      <c r="AF24" s="581"/>
      <c r="AG24" s="581"/>
      <c r="AH24" s="581"/>
      <c r="AI24" s="581"/>
      <c r="AJ24" s="581"/>
      <c r="AK24" s="581"/>
      <c r="AL24" s="581"/>
      <c r="AM24" s="581"/>
      <c r="AN24" s="581"/>
      <c r="AO24" s="581"/>
      <c r="AP24" s="581"/>
      <c r="AQ24" s="581"/>
      <c r="AR24" s="581"/>
      <c r="AS24" s="581"/>
      <c r="AT24" s="581"/>
      <c r="AU24" s="581"/>
      <c r="AV24" s="581"/>
      <c r="AW24" s="582"/>
    </row>
    <row r="25" spans="4:55" ht="12.75" customHeight="1">
      <c r="D25" s="132"/>
      <c r="E25" s="132"/>
      <c r="F25" s="132"/>
      <c r="G25" s="132"/>
      <c r="H25" s="132"/>
      <c r="I25" s="132"/>
      <c r="J25" s="132"/>
      <c r="K25" s="132"/>
      <c r="L25" s="132"/>
      <c r="M25" s="132"/>
      <c r="N25" s="132"/>
      <c r="O25" s="132"/>
      <c r="P25" s="132"/>
      <c r="Q25" s="132"/>
      <c r="R25" s="132"/>
      <c r="S25" s="132"/>
      <c r="T25" s="132"/>
      <c r="U25" s="132"/>
      <c r="V25" s="132"/>
      <c r="W25" s="132"/>
      <c r="X25" s="132"/>
      <c r="Y25" s="132"/>
      <c r="Z25" s="132"/>
      <c r="AA25" s="132"/>
      <c r="AB25" s="132"/>
      <c r="AC25" s="132"/>
      <c r="AD25" s="132"/>
      <c r="AE25" s="132"/>
      <c r="AF25" s="132"/>
      <c r="AG25" s="132"/>
      <c r="AH25" s="132"/>
      <c r="AI25" s="132"/>
      <c r="AJ25" s="132"/>
      <c r="AK25" s="132"/>
      <c r="AL25" s="132"/>
      <c r="AM25" s="132"/>
      <c r="AN25" s="132"/>
      <c r="AO25" s="132"/>
      <c r="AP25" s="132"/>
      <c r="AQ25" s="132"/>
      <c r="AR25" s="132"/>
      <c r="AS25" s="132"/>
      <c r="AT25" s="132"/>
      <c r="AU25" s="132"/>
      <c r="AV25" s="132"/>
      <c r="AW25" s="132"/>
    </row>
    <row r="26" spans="4:55">
      <c r="D26" s="300"/>
      <c r="E26" s="206"/>
      <c r="F26" s="206"/>
      <c r="G26" s="206"/>
      <c r="H26" s="206"/>
      <c r="I26" s="206"/>
      <c r="J26" s="206"/>
      <c r="K26" s="206"/>
      <c r="L26" s="206"/>
      <c r="M26" s="206"/>
      <c r="N26" s="206"/>
      <c r="O26" s="206"/>
      <c r="P26" s="206"/>
      <c r="Q26" s="206"/>
      <c r="R26" s="206"/>
      <c r="S26" s="206"/>
      <c r="T26" s="206"/>
      <c r="U26" s="206"/>
      <c r="V26" s="206"/>
      <c r="W26" s="206"/>
      <c r="X26" s="206"/>
      <c r="Y26" s="206"/>
      <c r="Z26" s="206"/>
      <c r="AA26" s="206"/>
      <c r="AB26" s="206"/>
      <c r="AC26" s="206"/>
      <c r="AD26" s="206"/>
      <c r="AE26" s="206"/>
      <c r="AF26" s="206"/>
      <c r="AG26" s="206"/>
      <c r="AH26" s="206"/>
      <c r="AI26" s="206"/>
      <c r="AJ26" s="206"/>
      <c r="AK26" s="206"/>
      <c r="AL26" s="206"/>
      <c r="AM26" s="206"/>
      <c r="AN26" s="206"/>
      <c r="AO26" s="206"/>
      <c r="AP26" s="206"/>
      <c r="AQ26" s="206"/>
      <c r="AR26" s="206"/>
      <c r="AS26" s="206"/>
      <c r="AT26" s="206"/>
      <c r="AU26" s="206"/>
      <c r="AV26" s="206"/>
      <c r="AW26" s="206"/>
    </row>
    <row r="27" spans="4:55" s="190" customFormat="1" ht="15.75" customHeight="1">
      <c r="D27" s="597" t="s">
        <v>284</v>
      </c>
      <c r="E27" s="597"/>
      <c r="F27" s="597"/>
      <c r="G27" s="597"/>
      <c r="H27" s="597"/>
      <c r="I27" s="597"/>
      <c r="J27" s="597"/>
      <c r="K27" s="597"/>
      <c r="L27" s="597"/>
      <c r="M27" s="597"/>
      <c r="N27" s="597"/>
      <c r="O27" s="597"/>
      <c r="P27" s="597"/>
      <c r="Q27" s="597"/>
      <c r="R27" s="597"/>
      <c r="S27" s="597"/>
      <c r="T27" s="597"/>
      <c r="U27" s="597"/>
      <c r="V27" s="597"/>
      <c r="W27" s="597"/>
      <c r="X27" s="597"/>
      <c r="Y27" s="597"/>
      <c r="Z27" s="597"/>
      <c r="AA27" s="597"/>
      <c r="AB27" s="597"/>
      <c r="AC27" s="597"/>
      <c r="AD27" s="597"/>
      <c r="AE27" s="597"/>
      <c r="AF27" s="597"/>
      <c r="AG27" s="597"/>
      <c r="AH27" s="597"/>
      <c r="AI27" s="597"/>
      <c r="AJ27" s="597"/>
      <c r="AK27" s="597"/>
      <c r="AL27" s="597"/>
      <c r="AM27" s="597"/>
      <c r="AN27" s="597"/>
      <c r="AO27" s="597"/>
      <c r="AP27" s="597"/>
      <c r="AQ27" s="597"/>
      <c r="AR27" s="597"/>
      <c r="AS27" s="597"/>
      <c r="AT27" s="597"/>
      <c r="AU27" s="597"/>
      <c r="AV27" s="597"/>
      <c r="AW27" s="597"/>
      <c r="AZ27" s="220"/>
    </row>
    <row r="28" spans="4:55">
      <c r="D28" s="599"/>
      <c r="E28" s="599"/>
      <c r="F28" s="599"/>
      <c r="G28" s="599"/>
      <c r="H28" s="599"/>
      <c r="I28" s="599"/>
      <c r="J28" s="599"/>
      <c r="K28" s="599"/>
      <c r="L28" s="599"/>
      <c r="M28" s="599"/>
      <c r="N28" s="599"/>
      <c r="O28" s="599"/>
      <c r="P28" s="599"/>
      <c r="Q28" s="599"/>
      <c r="R28" s="599"/>
      <c r="S28" s="599"/>
      <c r="T28" s="599"/>
      <c r="U28" s="599"/>
      <c r="V28" s="600"/>
      <c r="W28" s="600"/>
      <c r="X28" s="600"/>
      <c r="Y28" s="600"/>
      <c r="Z28" s="600"/>
      <c r="AA28" s="600"/>
      <c r="AB28" s="600"/>
      <c r="AC28" s="600"/>
      <c r="AD28" s="600"/>
      <c r="AE28" s="599"/>
      <c r="AF28" s="599"/>
      <c r="AG28" s="599"/>
      <c r="AH28" s="599"/>
      <c r="AI28" s="599"/>
      <c r="AJ28" s="599"/>
      <c r="AK28" s="599"/>
      <c r="AL28" s="599"/>
      <c r="AM28" s="599"/>
      <c r="AN28" s="599"/>
      <c r="AO28" s="599"/>
      <c r="AP28" s="599"/>
      <c r="AQ28" s="599"/>
      <c r="AR28" s="599"/>
      <c r="AS28" s="601"/>
      <c r="AT28" s="601"/>
      <c r="AU28" s="601"/>
      <c r="AV28" s="601"/>
      <c r="AW28" s="601"/>
    </row>
    <row r="29" spans="4:55" ht="13.5" customHeight="1">
      <c r="D29" s="598" t="s">
        <v>26</v>
      </c>
      <c r="E29" s="598"/>
      <c r="F29" s="598"/>
      <c r="G29" s="602" t="s">
        <v>295</v>
      </c>
      <c r="H29" s="602"/>
      <c r="I29" s="602"/>
      <c r="J29" s="602"/>
      <c r="K29" s="602"/>
      <c r="L29" s="602"/>
      <c r="M29" s="602"/>
      <c r="N29" s="602"/>
      <c r="O29" s="602"/>
      <c r="P29" s="602"/>
      <c r="Q29" s="602"/>
      <c r="R29" s="602"/>
      <c r="S29" s="602"/>
      <c r="T29" s="602"/>
      <c r="U29" s="602"/>
      <c r="V29" s="602"/>
      <c r="W29" s="602"/>
      <c r="X29" s="602"/>
      <c r="Y29" s="602"/>
      <c r="Z29" s="602"/>
      <c r="AA29" s="602"/>
      <c r="AB29" s="602"/>
      <c r="AC29" s="602"/>
      <c r="AD29" s="602"/>
      <c r="AE29" s="602"/>
      <c r="AF29" s="602"/>
      <c r="AG29" s="602"/>
      <c r="AH29" s="602"/>
      <c r="AI29" s="602"/>
      <c r="AJ29" s="602"/>
      <c r="AK29" s="602"/>
      <c r="AL29" s="602"/>
      <c r="AM29" s="602"/>
      <c r="AN29" s="602"/>
      <c r="AO29" s="602"/>
      <c r="AP29" s="602"/>
      <c r="AQ29" s="602"/>
      <c r="AR29" s="602"/>
      <c r="AS29" s="602"/>
      <c r="AT29" s="602"/>
      <c r="AU29" s="602"/>
      <c r="AV29" s="602"/>
      <c r="AW29" s="602"/>
      <c r="AZ29" s="578"/>
      <c r="BA29" s="578"/>
      <c r="BB29" s="578"/>
      <c r="BC29" s="578"/>
    </row>
    <row r="30" spans="4:55" ht="43.5" customHeight="1">
      <c r="D30" s="599"/>
      <c r="E30" s="599"/>
      <c r="F30" s="599"/>
      <c r="G30" s="602"/>
      <c r="H30" s="602"/>
      <c r="I30" s="602"/>
      <c r="J30" s="602"/>
      <c r="K30" s="602"/>
      <c r="L30" s="602"/>
      <c r="M30" s="602"/>
      <c r="N30" s="602"/>
      <c r="O30" s="602"/>
      <c r="P30" s="602"/>
      <c r="Q30" s="602"/>
      <c r="R30" s="602"/>
      <c r="S30" s="602"/>
      <c r="T30" s="602"/>
      <c r="U30" s="602"/>
      <c r="V30" s="602"/>
      <c r="W30" s="602"/>
      <c r="X30" s="602"/>
      <c r="Y30" s="602"/>
      <c r="Z30" s="602"/>
      <c r="AA30" s="602"/>
      <c r="AB30" s="602"/>
      <c r="AC30" s="602"/>
      <c r="AD30" s="602"/>
      <c r="AE30" s="602"/>
      <c r="AF30" s="602"/>
      <c r="AG30" s="602"/>
      <c r="AH30" s="602"/>
      <c r="AI30" s="602"/>
      <c r="AJ30" s="602"/>
      <c r="AK30" s="602"/>
      <c r="AL30" s="602"/>
      <c r="AM30" s="602"/>
      <c r="AN30" s="602"/>
      <c r="AO30" s="602"/>
      <c r="AP30" s="602"/>
      <c r="AQ30" s="602"/>
      <c r="AR30" s="602"/>
      <c r="AS30" s="602"/>
      <c r="AT30" s="602"/>
      <c r="AU30" s="602"/>
      <c r="AV30" s="602"/>
      <c r="AW30" s="602"/>
      <c r="AZ30" s="578"/>
      <c r="BA30" s="578"/>
      <c r="BB30" s="578"/>
      <c r="BC30" s="578"/>
    </row>
    <row r="31" spans="4:55" ht="2.25" customHeight="1">
      <c r="D31" s="599"/>
      <c r="E31" s="599"/>
      <c r="F31" s="599"/>
      <c r="G31" s="599"/>
      <c r="H31" s="599"/>
      <c r="I31" s="599"/>
      <c r="J31" s="599"/>
      <c r="K31" s="599"/>
      <c r="L31" s="599"/>
      <c r="M31" s="599"/>
      <c r="N31" s="599"/>
      <c r="O31" s="599"/>
      <c r="P31" s="599"/>
      <c r="Q31" s="599"/>
      <c r="R31" s="599"/>
      <c r="S31" s="599"/>
      <c r="T31" s="599"/>
      <c r="U31" s="599"/>
      <c r="V31" s="600"/>
      <c r="W31" s="600"/>
      <c r="X31" s="600"/>
      <c r="Y31" s="600"/>
      <c r="Z31" s="600"/>
      <c r="AA31" s="600"/>
      <c r="AB31" s="600"/>
      <c r="AC31" s="600"/>
      <c r="AD31" s="600"/>
      <c r="AE31" s="599"/>
      <c r="AF31" s="599"/>
      <c r="AG31" s="599"/>
      <c r="AH31" s="599"/>
      <c r="AI31" s="599"/>
      <c r="AJ31" s="599"/>
      <c r="AK31" s="599"/>
      <c r="AL31" s="599"/>
      <c r="AM31" s="599"/>
      <c r="AN31" s="599"/>
      <c r="AO31" s="599"/>
      <c r="AP31" s="599"/>
      <c r="AQ31" s="599"/>
      <c r="AR31" s="599"/>
      <c r="AS31" s="601"/>
      <c r="AT31" s="601"/>
      <c r="AU31" s="601"/>
      <c r="AV31" s="601"/>
      <c r="AW31" s="601"/>
      <c r="AZ31" s="578"/>
      <c r="BA31" s="578"/>
      <c r="BB31" s="578"/>
      <c r="BC31" s="578"/>
    </row>
    <row r="32" spans="4:55" ht="33" customHeight="1">
      <c r="D32" s="598" t="s">
        <v>27</v>
      </c>
      <c r="E32" s="598"/>
      <c r="F32" s="598"/>
      <c r="G32" s="603" t="s">
        <v>296</v>
      </c>
      <c r="H32" s="603"/>
      <c r="I32" s="603"/>
      <c r="J32" s="603"/>
      <c r="K32" s="603"/>
      <c r="L32" s="603"/>
      <c r="M32" s="603"/>
      <c r="N32" s="603"/>
      <c r="O32" s="603"/>
      <c r="P32" s="603"/>
      <c r="Q32" s="603"/>
      <c r="R32" s="603"/>
      <c r="S32" s="603"/>
      <c r="T32" s="603"/>
      <c r="U32" s="603"/>
      <c r="V32" s="603"/>
      <c r="W32" s="603"/>
      <c r="X32" s="603"/>
      <c r="Y32" s="603"/>
      <c r="Z32" s="603"/>
      <c r="AA32" s="603"/>
      <c r="AB32" s="603"/>
      <c r="AC32" s="603"/>
      <c r="AD32" s="603"/>
      <c r="AE32" s="603"/>
      <c r="AF32" s="603"/>
      <c r="AG32" s="603"/>
      <c r="AH32" s="603"/>
      <c r="AI32" s="603"/>
      <c r="AJ32" s="603"/>
      <c r="AK32" s="603"/>
      <c r="AL32" s="603"/>
      <c r="AM32" s="603"/>
      <c r="AN32" s="603"/>
      <c r="AO32" s="603"/>
      <c r="AP32" s="603"/>
      <c r="AQ32" s="603"/>
      <c r="AR32" s="603"/>
      <c r="AS32" s="603"/>
      <c r="AT32" s="603"/>
      <c r="AU32" s="603"/>
      <c r="AV32" s="603"/>
      <c r="AW32" s="603"/>
      <c r="AZ32" s="578"/>
      <c r="BA32" s="578"/>
      <c r="BB32" s="578"/>
      <c r="BC32" s="578"/>
    </row>
    <row r="33" spans="4:49">
      <c r="D33" s="604"/>
      <c r="E33" s="604"/>
      <c r="F33" s="604"/>
      <c r="G33" s="599"/>
      <c r="H33" s="599"/>
      <c r="I33" s="599"/>
      <c r="J33" s="599"/>
      <c r="K33" s="599"/>
      <c r="L33" s="599"/>
      <c r="M33" s="599"/>
      <c r="N33" s="599"/>
      <c r="O33" s="599"/>
      <c r="P33" s="599"/>
      <c r="Q33" s="599"/>
      <c r="R33" s="599"/>
      <c r="S33" s="599"/>
      <c r="T33" s="599"/>
      <c r="U33" s="599"/>
      <c r="V33" s="600"/>
      <c r="W33" s="600"/>
      <c r="X33" s="600"/>
      <c r="Y33" s="600"/>
      <c r="Z33" s="600"/>
      <c r="AA33" s="600"/>
      <c r="AB33" s="600"/>
      <c r="AC33" s="600"/>
      <c r="AD33" s="600"/>
      <c r="AE33" s="599"/>
      <c r="AF33" s="599"/>
      <c r="AG33" s="599"/>
      <c r="AH33" s="599"/>
      <c r="AI33" s="599"/>
      <c r="AJ33" s="599"/>
      <c r="AK33" s="599"/>
      <c r="AL33" s="599"/>
      <c r="AM33" s="599"/>
      <c r="AN33" s="599"/>
      <c r="AO33" s="599"/>
      <c r="AP33" s="599"/>
      <c r="AQ33" s="599"/>
      <c r="AR33" s="599"/>
      <c r="AS33" s="601"/>
      <c r="AT33" s="601"/>
      <c r="AU33" s="601"/>
      <c r="AV33" s="601"/>
      <c r="AW33" s="601"/>
    </row>
    <row r="34" spans="4:49">
      <c r="D34" s="604"/>
      <c r="E34" s="604"/>
      <c r="F34" s="604"/>
      <c r="G34" s="599"/>
      <c r="H34" s="599"/>
      <c r="I34" s="599"/>
      <c r="J34" s="599"/>
      <c r="K34" s="599"/>
      <c r="L34" s="599"/>
      <c r="M34" s="599"/>
      <c r="N34" s="599"/>
      <c r="O34" s="599"/>
      <c r="P34" s="599"/>
      <c r="Q34" s="599"/>
      <c r="R34" s="599"/>
      <c r="S34" s="599"/>
      <c r="T34" s="599"/>
      <c r="U34" s="599"/>
      <c r="V34" s="600"/>
      <c r="W34" s="600"/>
      <c r="X34" s="600"/>
      <c r="Y34" s="600"/>
      <c r="Z34" s="600"/>
      <c r="AA34" s="600"/>
      <c r="AB34" s="600"/>
      <c r="AC34" s="600"/>
      <c r="AD34" s="600"/>
      <c r="AE34" s="599"/>
      <c r="AF34" s="599"/>
      <c r="AG34" s="599"/>
      <c r="AH34" s="599"/>
      <c r="AI34" s="599"/>
      <c r="AJ34" s="599"/>
      <c r="AK34" s="599"/>
      <c r="AL34" s="599"/>
      <c r="AM34" s="599"/>
      <c r="AN34" s="599"/>
      <c r="AO34" s="599"/>
      <c r="AP34" s="599"/>
      <c r="AQ34" s="599"/>
      <c r="AR34" s="599"/>
      <c r="AS34" s="601"/>
      <c r="AT34" s="601"/>
      <c r="AU34" s="601"/>
      <c r="AV34" s="601"/>
      <c r="AW34" s="601"/>
    </row>
    <row r="35" spans="4:49">
      <c r="D35" s="604"/>
      <c r="E35" s="604"/>
      <c r="F35" s="604"/>
      <c r="G35" s="599"/>
      <c r="H35" s="599"/>
      <c r="I35" s="599"/>
      <c r="J35" s="599"/>
      <c r="K35" s="599"/>
      <c r="L35" s="599"/>
      <c r="M35" s="599"/>
      <c r="N35" s="599"/>
      <c r="O35" s="599"/>
      <c r="P35" s="599"/>
      <c r="Q35" s="599"/>
      <c r="R35" s="599"/>
      <c r="S35" s="599"/>
      <c r="T35" s="599"/>
      <c r="U35" s="599"/>
      <c r="V35" s="600"/>
      <c r="W35" s="600"/>
      <c r="X35" s="600"/>
      <c r="Y35" s="600"/>
      <c r="Z35" s="600"/>
      <c r="AA35" s="600"/>
      <c r="AB35" s="600"/>
      <c r="AC35" s="600"/>
      <c r="AD35" s="600"/>
      <c r="AE35" s="599"/>
      <c r="AF35" s="599"/>
      <c r="AG35" s="599"/>
      <c r="AH35" s="599"/>
      <c r="AI35" s="599"/>
      <c r="AJ35" s="599"/>
      <c r="AK35" s="599"/>
      <c r="AL35" s="599"/>
      <c r="AM35" s="599"/>
      <c r="AN35" s="599"/>
      <c r="AO35" s="599"/>
      <c r="AP35" s="599"/>
      <c r="AQ35" s="599"/>
      <c r="AR35" s="599"/>
      <c r="AS35" s="601"/>
      <c r="AT35" s="601"/>
      <c r="AU35" s="601"/>
      <c r="AV35" s="601"/>
      <c r="AW35" s="601"/>
    </row>
    <row r="36" spans="4:49">
      <c r="D36" s="604"/>
      <c r="E36" s="604"/>
      <c r="F36" s="604"/>
      <c r="G36" s="599"/>
      <c r="H36" s="599"/>
      <c r="I36" s="599"/>
      <c r="J36" s="599"/>
      <c r="K36" s="599"/>
      <c r="L36" s="599"/>
      <c r="M36" s="599"/>
      <c r="N36" s="599"/>
      <c r="O36" s="599"/>
      <c r="P36" s="599"/>
      <c r="Q36" s="599"/>
      <c r="R36" s="599"/>
      <c r="S36" s="599"/>
      <c r="T36" s="599"/>
      <c r="U36" s="599"/>
      <c r="V36" s="600"/>
      <c r="W36" s="600"/>
      <c r="X36" s="600"/>
      <c r="Y36" s="600"/>
      <c r="Z36" s="600"/>
      <c r="AA36" s="600"/>
      <c r="AB36" s="600"/>
      <c r="AC36" s="600"/>
      <c r="AD36" s="600"/>
      <c r="AE36" s="599"/>
      <c r="AF36" s="599"/>
      <c r="AG36" s="599"/>
      <c r="AH36" s="599"/>
      <c r="AI36" s="599"/>
      <c r="AJ36" s="599"/>
      <c r="AK36" s="599"/>
      <c r="AL36" s="599"/>
      <c r="AM36" s="599"/>
      <c r="AN36" s="599"/>
      <c r="AO36" s="599"/>
      <c r="AP36" s="599"/>
      <c r="AQ36" s="599"/>
      <c r="AR36" s="599"/>
      <c r="AS36" s="601"/>
      <c r="AT36" s="601"/>
      <c r="AU36" s="601"/>
      <c r="AV36" s="601"/>
      <c r="AW36" s="601"/>
    </row>
    <row r="37" spans="4:49">
      <c r="D37" s="604"/>
      <c r="E37" s="604"/>
      <c r="F37" s="604"/>
      <c r="G37" s="599"/>
      <c r="H37" s="599"/>
      <c r="I37" s="599"/>
      <c r="J37" s="599"/>
      <c r="K37" s="599"/>
      <c r="L37" s="599"/>
      <c r="M37" s="599"/>
      <c r="N37" s="599"/>
      <c r="O37" s="599"/>
      <c r="P37" s="599"/>
      <c r="Q37" s="599"/>
      <c r="R37" s="599"/>
      <c r="S37" s="599"/>
      <c r="T37" s="599"/>
      <c r="U37" s="599"/>
      <c r="V37" s="600"/>
      <c r="W37" s="600"/>
      <c r="X37" s="600"/>
      <c r="Y37" s="600"/>
      <c r="Z37" s="600"/>
      <c r="AA37" s="600"/>
      <c r="AB37" s="600"/>
      <c r="AC37" s="600"/>
      <c r="AD37" s="600"/>
      <c r="AE37" s="599"/>
      <c r="AF37" s="599"/>
      <c r="AG37" s="599"/>
      <c r="AH37" s="599"/>
      <c r="AI37" s="599"/>
      <c r="AJ37" s="599"/>
      <c r="AK37" s="599"/>
      <c r="AL37" s="599"/>
      <c r="AM37" s="599"/>
      <c r="AN37" s="599"/>
      <c r="AO37" s="599"/>
      <c r="AP37" s="599"/>
      <c r="AQ37" s="599"/>
      <c r="AR37" s="599"/>
      <c r="AS37" s="601"/>
      <c r="AT37" s="601"/>
      <c r="AU37" s="601"/>
      <c r="AV37" s="601"/>
      <c r="AW37" s="601"/>
    </row>
    <row r="38" spans="4:49">
      <c r="D38" s="604"/>
      <c r="E38" s="604"/>
      <c r="F38" s="604"/>
      <c r="G38" s="599"/>
      <c r="H38" s="599"/>
      <c r="I38" s="599"/>
      <c r="J38" s="599"/>
      <c r="K38" s="599"/>
      <c r="L38" s="599"/>
      <c r="M38" s="599"/>
      <c r="N38" s="599"/>
      <c r="O38" s="599"/>
      <c r="P38" s="599"/>
      <c r="Q38" s="599"/>
      <c r="R38" s="599"/>
      <c r="S38" s="599"/>
      <c r="T38" s="599"/>
      <c r="U38" s="599"/>
      <c r="V38" s="600"/>
      <c r="W38" s="600"/>
      <c r="X38" s="600"/>
      <c r="Y38" s="600"/>
      <c r="Z38" s="600"/>
      <c r="AA38" s="600"/>
      <c r="AB38" s="600"/>
      <c r="AC38" s="600"/>
      <c r="AD38" s="600"/>
      <c r="AE38" s="599"/>
      <c r="AF38" s="599"/>
      <c r="AG38" s="599"/>
      <c r="AH38" s="599"/>
      <c r="AI38" s="599"/>
      <c r="AJ38" s="599"/>
      <c r="AK38" s="599"/>
      <c r="AL38" s="599"/>
      <c r="AM38" s="599"/>
      <c r="AN38" s="599"/>
      <c r="AO38" s="599"/>
      <c r="AP38" s="599"/>
      <c r="AQ38" s="599"/>
      <c r="AR38" s="599"/>
      <c r="AS38" s="601"/>
      <c r="AT38" s="601"/>
      <c r="AU38" s="601"/>
      <c r="AV38" s="601"/>
      <c r="AW38" s="601"/>
    </row>
    <row r="39" spans="4:49">
      <c r="D39" s="604"/>
      <c r="E39" s="604"/>
      <c r="F39" s="604"/>
      <c r="G39" s="599"/>
      <c r="H39" s="599"/>
      <c r="I39" s="599"/>
      <c r="J39" s="599"/>
      <c r="K39" s="599"/>
      <c r="L39" s="599"/>
      <c r="M39" s="599"/>
      <c r="N39" s="599"/>
      <c r="O39" s="599"/>
      <c r="P39" s="599"/>
      <c r="Q39" s="599"/>
      <c r="R39" s="599"/>
      <c r="S39" s="599"/>
      <c r="T39" s="599"/>
      <c r="U39" s="599"/>
      <c r="V39" s="600"/>
      <c r="W39" s="600"/>
      <c r="X39" s="600"/>
      <c r="Y39" s="600"/>
      <c r="Z39" s="600"/>
      <c r="AA39" s="600"/>
      <c r="AB39" s="600"/>
      <c r="AC39" s="600"/>
      <c r="AD39" s="600"/>
      <c r="AE39" s="599"/>
      <c r="AF39" s="599"/>
      <c r="AG39" s="599"/>
      <c r="AH39" s="599"/>
      <c r="AI39" s="599"/>
      <c r="AJ39" s="599"/>
      <c r="AK39" s="599"/>
      <c r="AL39" s="599"/>
      <c r="AM39" s="599"/>
      <c r="AN39" s="599"/>
      <c r="AO39" s="599"/>
      <c r="AP39" s="599"/>
      <c r="AQ39" s="599"/>
      <c r="AR39" s="599"/>
      <c r="AS39" s="601"/>
      <c r="AT39" s="601"/>
      <c r="AU39" s="601"/>
      <c r="AV39" s="601"/>
      <c r="AW39" s="601"/>
    </row>
    <row r="40" spans="4:49">
      <c r="D40" s="599"/>
      <c r="E40" s="599"/>
      <c r="F40" s="599"/>
      <c r="G40" s="599"/>
      <c r="H40" s="599"/>
      <c r="I40" s="599"/>
      <c r="J40" s="599"/>
      <c r="K40" s="599"/>
      <c r="L40" s="599"/>
      <c r="M40" s="599"/>
      <c r="N40" s="599"/>
      <c r="O40" s="599"/>
      <c r="P40" s="599"/>
      <c r="Q40" s="599"/>
      <c r="R40" s="599"/>
      <c r="S40" s="599"/>
      <c r="T40" s="599"/>
      <c r="U40" s="599"/>
      <c r="V40" s="600"/>
      <c r="W40" s="600"/>
      <c r="X40" s="600"/>
      <c r="Y40" s="600"/>
      <c r="Z40" s="600"/>
      <c r="AA40" s="600"/>
      <c r="AB40" s="600"/>
      <c r="AC40" s="600"/>
      <c r="AD40" s="600"/>
      <c r="AE40" s="599"/>
      <c r="AF40" s="599"/>
      <c r="AG40" s="599"/>
      <c r="AH40" s="599"/>
      <c r="AI40" s="599"/>
      <c r="AJ40" s="599"/>
      <c r="AK40" s="599"/>
      <c r="AL40" s="599"/>
      <c r="AM40" s="599"/>
      <c r="AN40" s="599"/>
      <c r="AO40" s="599"/>
      <c r="AP40" s="599"/>
      <c r="AQ40" s="599"/>
      <c r="AR40" s="599"/>
      <c r="AS40" s="601"/>
      <c r="AT40" s="601"/>
      <c r="AU40" s="601"/>
      <c r="AV40" s="601"/>
      <c r="AW40" s="601"/>
    </row>
    <row r="41" spans="4:49">
      <c r="D41" s="599"/>
      <c r="E41" s="599"/>
      <c r="F41" s="599"/>
      <c r="G41" s="599"/>
      <c r="H41" s="599"/>
      <c r="I41" s="599"/>
      <c r="J41" s="599"/>
      <c r="K41" s="599"/>
      <c r="L41" s="599"/>
      <c r="M41" s="599"/>
      <c r="N41" s="599"/>
      <c r="O41" s="599"/>
      <c r="P41" s="599"/>
      <c r="Q41" s="599"/>
      <c r="R41" s="599"/>
      <c r="S41" s="599"/>
      <c r="T41" s="599"/>
      <c r="U41" s="599"/>
      <c r="V41" s="600"/>
      <c r="W41" s="600"/>
      <c r="X41" s="600"/>
      <c r="Y41" s="600"/>
      <c r="Z41" s="600"/>
      <c r="AA41" s="600"/>
      <c r="AB41" s="600"/>
      <c r="AC41" s="600"/>
      <c r="AD41" s="600"/>
      <c r="AE41" s="599"/>
      <c r="AF41" s="599"/>
      <c r="AG41" s="599"/>
      <c r="AH41" s="599"/>
      <c r="AI41" s="599"/>
      <c r="AJ41" s="599"/>
      <c r="AK41" s="599"/>
      <c r="AL41" s="599"/>
      <c r="AM41" s="599"/>
      <c r="AN41" s="599"/>
      <c r="AO41" s="599"/>
      <c r="AP41" s="599"/>
      <c r="AQ41" s="599"/>
      <c r="AR41" s="599"/>
      <c r="AS41" s="601"/>
      <c r="AT41" s="601"/>
      <c r="AU41" s="601"/>
      <c r="AV41" s="601"/>
      <c r="AW41" s="601"/>
    </row>
    <row r="42" spans="4:49" ht="63.75" customHeight="1">
      <c r="D42" s="189"/>
      <c r="E42" s="292"/>
    </row>
    <row r="43" spans="4:49" ht="14.25" customHeight="1">
      <c r="D43" s="45"/>
      <c r="E43" s="609"/>
      <c r="F43" s="609"/>
      <c r="G43" s="609"/>
      <c r="H43" s="609"/>
      <c r="I43" s="609"/>
      <c r="J43" s="609"/>
      <c r="K43" s="609"/>
      <c r="L43" s="609"/>
      <c r="M43" s="609"/>
      <c r="N43" s="609"/>
      <c r="O43" s="609"/>
      <c r="P43" s="609"/>
      <c r="Q43" s="609"/>
      <c r="R43" s="609"/>
      <c r="S43" s="609"/>
      <c r="T43" s="609"/>
      <c r="U43" s="609"/>
      <c r="V43" s="609"/>
      <c r="W43" s="609"/>
      <c r="X43" s="609"/>
      <c r="Y43" s="609"/>
      <c r="Z43" s="609"/>
      <c r="AA43" s="609"/>
      <c r="AB43" s="609"/>
      <c r="AC43" s="609"/>
      <c r="AD43" s="609"/>
      <c r="AE43" s="609"/>
      <c r="AF43" s="609"/>
      <c r="AG43" s="609"/>
      <c r="AH43" s="609"/>
      <c r="AI43" s="609"/>
      <c r="AJ43" s="609"/>
      <c r="AK43" s="609"/>
      <c r="AL43" s="609"/>
      <c r="AM43" s="609"/>
      <c r="AN43" s="609"/>
      <c r="AO43" s="609"/>
      <c r="AP43" s="609"/>
      <c r="AQ43" s="609"/>
      <c r="AR43" s="609"/>
      <c r="AS43" s="609"/>
      <c r="AT43" s="609"/>
      <c r="AU43" s="609"/>
      <c r="AV43" s="609"/>
      <c r="AW43" s="609"/>
    </row>
    <row r="44" spans="4:49" ht="21.75" customHeight="1">
      <c r="D44" s="45"/>
      <c r="E44" s="609"/>
      <c r="F44" s="609"/>
      <c r="G44" s="609"/>
      <c r="H44" s="609"/>
      <c r="I44" s="609"/>
      <c r="J44" s="609"/>
      <c r="K44" s="609"/>
      <c r="L44" s="609"/>
      <c r="M44" s="609"/>
      <c r="N44" s="609"/>
      <c r="O44" s="609"/>
      <c r="P44" s="609"/>
      <c r="Q44" s="609"/>
      <c r="R44" s="609"/>
      <c r="S44" s="609"/>
      <c r="T44" s="609"/>
      <c r="U44" s="609"/>
      <c r="V44" s="609"/>
      <c r="W44" s="609"/>
      <c r="X44" s="609"/>
      <c r="Y44" s="609"/>
      <c r="Z44" s="609"/>
      <c r="AA44" s="609"/>
      <c r="AB44" s="609"/>
      <c r="AC44" s="609"/>
      <c r="AD44" s="609"/>
      <c r="AE44" s="609"/>
      <c r="AF44" s="609"/>
      <c r="AG44" s="609"/>
      <c r="AH44" s="609"/>
      <c r="AI44" s="609"/>
      <c r="AJ44" s="609"/>
      <c r="AK44" s="609"/>
      <c r="AL44" s="609"/>
      <c r="AM44" s="609"/>
      <c r="AN44" s="609"/>
      <c r="AO44" s="609"/>
      <c r="AP44" s="609"/>
      <c r="AQ44" s="609"/>
      <c r="AR44" s="609"/>
      <c r="AS44" s="609"/>
      <c r="AT44" s="609"/>
      <c r="AU44" s="609"/>
      <c r="AV44" s="609"/>
      <c r="AW44" s="609"/>
    </row>
    <row r="46" spans="4:49">
      <c r="D46" s="610" t="str">
        <f>IF(AND(vstupne_udaje!D41=" V (názov obce/mesta)",vstupne_udaje!D42="DD.MM.YYYY"),"V ................................... , dňa ..............",IF(vstupne_udaje!D43="",CONCATENATE(vstupne_udaje!D41,", dňa ",DAY(vstupne_udaje!D42),".",MONTH(vstupne_udaje!D42),".",YEAR(vstupne_udaje!D42)),CONCATENATE(vstupne_udaje!D41,", dňa ",DAY(vstupne_udaje!D42),".",MONTH(vstupne_udaje!D42),".",YEAR(vstupne_udaje!D42)," o ",HOUR(vstupne_udaje!D43)," hod.")))</f>
        <v>V ................................... , dňa ..............</v>
      </c>
      <c r="E46" s="610"/>
      <c r="F46" s="610"/>
      <c r="G46" s="610"/>
      <c r="H46" s="610"/>
      <c r="I46" s="610"/>
      <c r="J46" s="610"/>
      <c r="K46" s="610"/>
      <c r="L46" s="610"/>
      <c r="M46" s="610"/>
      <c r="N46" s="610"/>
      <c r="O46" s="610"/>
      <c r="P46" s="610"/>
      <c r="Q46" s="610"/>
      <c r="R46" s="610"/>
      <c r="S46" s="610"/>
      <c r="T46" s="610"/>
      <c r="U46" s="610"/>
      <c r="V46" s="610"/>
      <c r="W46" s="610"/>
      <c r="AB46" s="606"/>
      <c r="AC46" s="606"/>
      <c r="AD46" s="606"/>
      <c r="AE46" s="606"/>
      <c r="AF46" s="606"/>
      <c r="AG46" s="606"/>
      <c r="AH46" s="606"/>
      <c r="AI46" s="606"/>
      <c r="AJ46" s="606"/>
      <c r="AK46" s="606"/>
      <c r="AL46" s="606"/>
      <c r="AM46" s="606"/>
      <c r="AN46" s="606"/>
      <c r="AO46" s="606"/>
      <c r="AP46" s="606"/>
      <c r="AQ46" s="606"/>
      <c r="AR46" s="606"/>
      <c r="AS46" s="606"/>
      <c r="AT46" s="606"/>
      <c r="AU46" s="606"/>
      <c r="AV46" s="606"/>
      <c r="AW46" s="606"/>
    </row>
    <row r="47" spans="4:49" ht="30" customHeight="1">
      <c r="AB47" s="607" t="s">
        <v>63</v>
      </c>
      <c r="AC47" s="608"/>
      <c r="AD47" s="608"/>
      <c r="AE47" s="608"/>
      <c r="AF47" s="608"/>
      <c r="AG47" s="608"/>
      <c r="AH47" s="608"/>
      <c r="AI47" s="608"/>
      <c r="AJ47" s="608"/>
      <c r="AK47" s="608"/>
      <c r="AL47" s="608"/>
      <c r="AM47" s="608"/>
      <c r="AN47" s="608"/>
      <c r="AO47" s="608"/>
      <c r="AP47" s="608"/>
      <c r="AQ47" s="608"/>
      <c r="AR47" s="608"/>
      <c r="AS47" s="608"/>
      <c r="AT47" s="608"/>
      <c r="AU47" s="608"/>
      <c r="AV47" s="608"/>
      <c r="AW47" s="608"/>
    </row>
    <row r="48" spans="4:49">
      <c r="D48" s="605" t="s">
        <v>264</v>
      </c>
      <c r="E48" s="605"/>
      <c r="F48" s="605"/>
      <c r="G48" s="605"/>
      <c r="H48" s="605"/>
      <c r="I48" s="605"/>
      <c r="J48" s="605"/>
      <c r="K48" s="605"/>
      <c r="L48" s="605"/>
      <c r="M48" s="605"/>
      <c r="N48" s="605"/>
      <c r="O48" s="605"/>
      <c r="P48" s="605"/>
      <c r="Q48" s="605"/>
      <c r="R48" s="605"/>
      <c r="S48" s="605"/>
      <c r="T48" s="605"/>
      <c r="U48" s="605"/>
      <c r="V48" s="605"/>
      <c r="W48" s="605"/>
      <c r="X48" s="605"/>
      <c r="Y48" s="605"/>
      <c r="Z48" s="605"/>
      <c r="AA48" s="605"/>
      <c r="AB48" s="605"/>
      <c r="AC48" s="605"/>
      <c r="AD48" s="605"/>
      <c r="AE48" s="605"/>
      <c r="AF48" s="605"/>
      <c r="AG48" s="605"/>
      <c r="AH48" s="605"/>
      <c r="AI48" s="605"/>
      <c r="AJ48" s="605"/>
      <c r="AK48" s="605"/>
      <c r="AL48" s="605"/>
      <c r="AM48" s="605"/>
      <c r="AN48" s="605"/>
      <c r="AO48" s="605"/>
      <c r="AP48" s="605"/>
      <c r="AQ48" s="605"/>
      <c r="AR48" s="605"/>
      <c r="AS48" s="605"/>
      <c r="AT48" s="605"/>
      <c r="AU48" s="605"/>
      <c r="AV48" s="605"/>
      <c r="AW48" s="605"/>
    </row>
    <row r="49" spans="4:49">
      <c r="D49" s="605"/>
      <c r="E49" s="605"/>
      <c r="F49" s="605"/>
      <c r="G49" s="605"/>
      <c r="H49" s="605"/>
      <c r="I49" s="605"/>
      <c r="J49" s="605"/>
      <c r="K49" s="605"/>
      <c r="L49" s="605"/>
      <c r="M49" s="605"/>
      <c r="N49" s="605"/>
      <c r="O49" s="605"/>
      <c r="P49" s="605"/>
      <c r="Q49" s="605"/>
      <c r="R49" s="605"/>
      <c r="S49" s="605"/>
      <c r="T49" s="605"/>
      <c r="U49" s="605"/>
      <c r="V49" s="605"/>
      <c r="W49" s="605"/>
      <c r="X49" s="605"/>
      <c r="Y49" s="605"/>
      <c r="Z49" s="605"/>
      <c r="AA49" s="605"/>
      <c r="AB49" s="605"/>
      <c r="AC49" s="605"/>
      <c r="AD49" s="605"/>
      <c r="AE49" s="605"/>
      <c r="AF49" s="605"/>
      <c r="AG49" s="605"/>
      <c r="AH49" s="605"/>
      <c r="AI49" s="605"/>
      <c r="AJ49" s="605"/>
      <c r="AK49" s="605"/>
      <c r="AL49" s="605"/>
      <c r="AM49" s="605"/>
      <c r="AN49" s="605"/>
      <c r="AO49" s="605"/>
      <c r="AP49" s="605"/>
      <c r="AQ49" s="605"/>
      <c r="AR49" s="605"/>
      <c r="AS49" s="605"/>
      <c r="AT49" s="605"/>
      <c r="AU49" s="605"/>
      <c r="AV49" s="605"/>
      <c r="AW49" s="605"/>
    </row>
    <row r="50" spans="4:49">
      <c r="D50" s="605"/>
      <c r="E50" s="605"/>
      <c r="F50" s="605"/>
      <c r="G50" s="605"/>
      <c r="H50" s="605"/>
      <c r="I50" s="605"/>
      <c r="J50" s="605"/>
      <c r="K50" s="605"/>
      <c r="L50" s="605"/>
      <c r="M50" s="605"/>
      <c r="N50" s="605"/>
      <c r="O50" s="605"/>
      <c r="P50" s="605"/>
      <c r="Q50" s="605"/>
      <c r="R50" s="605"/>
      <c r="S50" s="605"/>
      <c r="T50" s="605"/>
      <c r="U50" s="605"/>
      <c r="V50" s="605"/>
      <c r="W50" s="605"/>
      <c r="X50" s="605"/>
      <c r="Y50" s="605"/>
      <c r="Z50" s="605"/>
      <c r="AA50" s="605"/>
      <c r="AB50" s="605"/>
      <c r="AC50" s="605"/>
      <c r="AD50" s="605"/>
      <c r="AE50" s="605"/>
      <c r="AF50" s="605"/>
      <c r="AG50" s="605"/>
      <c r="AH50" s="605"/>
      <c r="AI50" s="605"/>
      <c r="AJ50" s="605"/>
      <c r="AK50" s="605"/>
      <c r="AL50" s="605"/>
      <c r="AM50" s="605"/>
      <c r="AN50" s="605"/>
      <c r="AO50" s="605"/>
      <c r="AP50" s="605"/>
      <c r="AQ50" s="605"/>
      <c r="AR50" s="605"/>
      <c r="AS50" s="605"/>
      <c r="AT50" s="605"/>
      <c r="AU50" s="605"/>
      <c r="AV50" s="605"/>
      <c r="AW50" s="605"/>
    </row>
  </sheetData>
  <sheetProtection algorithmName="SHA-512" hashValue="fwXeyxQcG1GXRV1F29JJuZbkk3Kt0C6ToCctvdQEi++8sstHosrUy8r4NAQVOBpj/r1yZMt1FIArg3XXR2wgnQ==" saltValue="yTIyfyEghpRhQMQ76YdqdA==" spinCount="100000" sheet="1" objects="1" scenarios="1"/>
  <mergeCells count="83">
    <mergeCell ref="D17:U17"/>
    <mergeCell ref="W17:AA17"/>
    <mergeCell ref="D48:AW50"/>
    <mergeCell ref="AB46:AW46"/>
    <mergeCell ref="AB47:AW47"/>
    <mergeCell ref="E44:AW44"/>
    <mergeCell ref="D41:F41"/>
    <mergeCell ref="G41:U41"/>
    <mergeCell ref="V41:AD41"/>
    <mergeCell ref="AE41:AR41"/>
    <mergeCell ref="AS41:AW41"/>
    <mergeCell ref="E43:AW43"/>
    <mergeCell ref="D46:W46"/>
    <mergeCell ref="D40:F40"/>
    <mergeCell ref="G40:U40"/>
    <mergeCell ref="V40:AD40"/>
    <mergeCell ref="AE40:AR40"/>
    <mergeCell ref="AS40:AW40"/>
    <mergeCell ref="D38:F38"/>
    <mergeCell ref="G38:U38"/>
    <mergeCell ref="V38:AD38"/>
    <mergeCell ref="AE38:AR38"/>
    <mergeCell ref="AS38:AW38"/>
    <mergeCell ref="D39:F39"/>
    <mergeCell ref="G39:U39"/>
    <mergeCell ref="V39:AD39"/>
    <mergeCell ref="AE39:AR39"/>
    <mergeCell ref="AS39:AW39"/>
    <mergeCell ref="D36:F36"/>
    <mergeCell ref="G36:U36"/>
    <mergeCell ref="V36:AD36"/>
    <mergeCell ref="AE36:AR36"/>
    <mergeCell ref="AS36:AW36"/>
    <mergeCell ref="D37:F37"/>
    <mergeCell ref="G37:U37"/>
    <mergeCell ref="V37:AD37"/>
    <mergeCell ref="AE37:AR37"/>
    <mergeCell ref="AS37:AW37"/>
    <mergeCell ref="D34:F34"/>
    <mergeCell ref="G34:U34"/>
    <mergeCell ref="V34:AD34"/>
    <mergeCell ref="AE34:AR34"/>
    <mergeCell ref="AS34:AW34"/>
    <mergeCell ref="D35:F35"/>
    <mergeCell ref="G35:U35"/>
    <mergeCell ref="V35:AD35"/>
    <mergeCell ref="AE35:AR35"/>
    <mergeCell ref="AS35:AW35"/>
    <mergeCell ref="AS33:AW33"/>
    <mergeCell ref="D30:F30"/>
    <mergeCell ref="G29:AW30"/>
    <mergeCell ref="D31:F31"/>
    <mergeCell ref="G31:U31"/>
    <mergeCell ref="V31:AD31"/>
    <mergeCell ref="AE31:AR31"/>
    <mergeCell ref="AS31:AW31"/>
    <mergeCell ref="D32:F32"/>
    <mergeCell ref="G32:AW32"/>
    <mergeCell ref="D33:F33"/>
    <mergeCell ref="G33:U33"/>
    <mergeCell ref="V33:AD33"/>
    <mergeCell ref="AE33:AR33"/>
    <mergeCell ref="D28:F28"/>
    <mergeCell ref="G28:U28"/>
    <mergeCell ref="V28:AD28"/>
    <mergeCell ref="AE28:AR28"/>
    <mergeCell ref="AS28:AW28"/>
    <mergeCell ref="AZ29:BC32"/>
    <mergeCell ref="W10:AA10"/>
    <mergeCell ref="W24:AW24"/>
    <mergeCell ref="AR2:AX2"/>
    <mergeCell ref="AR3:AW3"/>
    <mergeCell ref="D6:AW6"/>
    <mergeCell ref="W20:AW20"/>
    <mergeCell ref="W22:AW22"/>
    <mergeCell ref="W18:AA18"/>
    <mergeCell ref="W14:AA14"/>
    <mergeCell ref="W12:AA12"/>
    <mergeCell ref="W8:AA8"/>
    <mergeCell ref="D15:AP15"/>
    <mergeCell ref="D18:U18"/>
    <mergeCell ref="D27:AW27"/>
    <mergeCell ref="D29:F29"/>
  </mergeCells>
  <conditionalFormatting sqref="W8">
    <cfRule type="expression" dxfId="2" priority="6">
      <formula>$W$8=""</formula>
    </cfRule>
  </conditionalFormatting>
  <conditionalFormatting sqref="W10">
    <cfRule type="expression" dxfId="1" priority="1">
      <formula>$W$8=""</formula>
    </cfRule>
  </conditionalFormatting>
  <dataValidations disablePrompts="1" count="1">
    <dataValidation type="list" allowBlank="1" showInputMessage="1" showErrorMessage="1" sqref="AS28:AW28 AS31:AW31 AS33:AW41" xr:uid="{00000000-0002-0000-0700-000000000000}">
      <formula1>"žiak,zamest."</formula1>
    </dataValidation>
  </dataValidations>
  <pageMargins left="0.78740157480314965" right="0.78740157480314965" top="0.74803149606299213" bottom="0.74803149606299213" header="0" footer="0.23622047244094491"/>
  <pageSetup paperSize="9" scale="98" fitToHeight="0" orientation="portrait" r:id="rId1"/>
  <headerFooter differentFirst="1" scaleWithDoc="0" alignWithMargins="0">
    <oddFooter>&amp;R&amp;"Times New Roman,Normálne"&amp;12&amp;P/&amp;N</oddFooter>
    <firstFooter>&amp;L&amp;"Times New Roman,Tučné"&amp;12 1+101+01+01+0122&amp;R&amp;"Times New Roman,Normálne"&amp;12&amp;P/&amp;N</first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pageSetUpPr fitToPage="1"/>
  </sheetPr>
  <dimension ref="D2:BE68"/>
  <sheetViews>
    <sheetView zoomScale="120" zoomScaleNormal="120" workbookViewId="0"/>
  </sheetViews>
  <sheetFormatPr defaultColWidth="9.109375" defaultRowHeight="13.8"/>
  <cols>
    <col min="1" max="2" width="1.88671875" style="48" customWidth="1"/>
    <col min="3" max="3" width="0.44140625" style="48" customWidth="1"/>
    <col min="4" max="21" width="1.88671875" style="48" customWidth="1"/>
    <col min="22" max="22" width="2.5546875" style="48" customWidth="1"/>
    <col min="23" max="49" width="1.88671875" style="48" customWidth="1"/>
    <col min="50" max="50" width="0.6640625" style="48" customWidth="1"/>
    <col min="51" max="16384" width="9.109375" style="48"/>
  </cols>
  <sheetData>
    <row r="2" spans="4:57" ht="15.75" customHeight="1">
      <c r="AQ2" s="187" t="s">
        <v>118</v>
      </c>
      <c r="AR2" s="583" t="str">
        <f>IF(vstupne_udaje!D4="xx-1xxxxx","",vstupne_udaje!D4)</f>
        <v/>
      </c>
      <c r="AS2" s="583"/>
      <c r="AT2" s="583"/>
      <c r="AU2" s="583"/>
      <c r="AV2" s="583"/>
      <c r="AW2" s="583"/>
      <c r="AX2" s="583"/>
    </row>
    <row r="3" spans="4:57" ht="15.75" customHeight="1">
      <c r="AQ3" s="187" t="s">
        <v>167</v>
      </c>
      <c r="AR3" s="583">
        <v>2</v>
      </c>
      <c r="AS3" s="583"/>
      <c r="AT3" s="583"/>
      <c r="AU3" s="583"/>
      <c r="AV3" s="583"/>
      <c r="AW3" s="583"/>
    </row>
    <row r="4" spans="4:57" ht="8.25" customHeight="1"/>
    <row r="5" spans="4:57" ht="29.4" customHeight="1"/>
    <row r="6" spans="4:57" ht="18" customHeight="1">
      <c r="D6" s="585" t="s">
        <v>277</v>
      </c>
      <c r="E6" s="585"/>
      <c r="F6" s="585"/>
      <c r="G6" s="585"/>
      <c r="H6" s="585"/>
      <c r="I6" s="585"/>
      <c r="J6" s="585"/>
      <c r="K6" s="585"/>
      <c r="L6" s="585"/>
      <c r="M6" s="585"/>
      <c r="N6" s="585"/>
      <c r="O6" s="585"/>
      <c r="P6" s="585"/>
      <c r="Q6" s="585"/>
      <c r="R6" s="585"/>
      <c r="S6" s="585"/>
      <c r="T6" s="585"/>
      <c r="U6" s="585"/>
      <c r="V6" s="585"/>
      <c r="W6" s="585"/>
      <c r="X6" s="585"/>
      <c r="Y6" s="585"/>
      <c r="Z6" s="585"/>
      <c r="AA6" s="585"/>
      <c r="AB6" s="585"/>
      <c r="AC6" s="585"/>
      <c r="AD6" s="585"/>
      <c r="AE6" s="585"/>
      <c r="AF6" s="585"/>
      <c r="AG6" s="585"/>
      <c r="AH6" s="585"/>
      <c r="AI6" s="585"/>
      <c r="AJ6" s="585"/>
      <c r="AK6" s="585"/>
      <c r="AL6" s="585"/>
      <c r="AM6" s="585"/>
      <c r="AN6" s="585"/>
      <c r="AO6" s="585"/>
      <c r="AP6" s="585"/>
      <c r="AQ6" s="585"/>
      <c r="AR6" s="585"/>
      <c r="AS6" s="585"/>
      <c r="AT6" s="585"/>
      <c r="AU6" s="585"/>
      <c r="AV6" s="585"/>
      <c r="AW6" s="585"/>
      <c r="AX6" s="188"/>
      <c r="AZ6" s="475"/>
      <c r="BA6" s="475"/>
      <c r="BB6" s="475"/>
      <c r="BC6" s="475"/>
      <c r="BD6" s="475"/>
      <c r="BE6" s="475"/>
    </row>
    <row r="7" spans="4:57" ht="12.75" customHeight="1">
      <c r="AZ7" s="475"/>
      <c r="BA7" s="475"/>
      <c r="BB7" s="475"/>
      <c r="BC7" s="475"/>
      <c r="BD7" s="475"/>
      <c r="BE7" s="475"/>
    </row>
    <row r="8" spans="4:57" ht="14.4" customHeight="1">
      <c r="D8" s="205" t="s">
        <v>170</v>
      </c>
      <c r="E8" s="132"/>
      <c r="F8" s="132"/>
      <c r="G8" s="132"/>
      <c r="H8" s="132"/>
      <c r="I8" s="132"/>
      <c r="J8" s="132"/>
      <c r="K8" s="132"/>
      <c r="L8" s="132"/>
      <c r="M8" s="132"/>
      <c r="N8" s="132"/>
      <c r="O8" s="132"/>
      <c r="P8" s="132"/>
      <c r="Q8" s="132"/>
      <c r="R8" s="132"/>
      <c r="S8" s="132"/>
      <c r="T8" s="132"/>
      <c r="U8" s="132"/>
      <c r="V8" s="132"/>
      <c r="W8" s="636"/>
      <c r="X8" s="636"/>
      <c r="Y8" s="636"/>
      <c r="Z8" s="636"/>
      <c r="AA8" s="636"/>
      <c r="AB8" s="636"/>
      <c r="AC8" s="636"/>
      <c r="AD8" s="636"/>
      <c r="AE8" s="636"/>
      <c r="AF8" s="636"/>
      <c r="AG8" s="636"/>
      <c r="AH8" s="636"/>
      <c r="AI8" s="132"/>
      <c r="AJ8" s="132"/>
      <c r="AK8" s="132"/>
      <c r="AL8" s="132"/>
      <c r="AM8" s="132"/>
      <c r="AN8" s="132"/>
      <c r="AO8" s="132"/>
      <c r="AP8" s="132"/>
      <c r="AQ8" s="132"/>
      <c r="AR8" s="132"/>
      <c r="AS8" s="132"/>
      <c r="AT8" s="132"/>
      <c r="AU8" s="132"/>
      <c r="AV8" s="132"/>
      <c r="AW8" s="132"/>
      <c r="AZ8" s="475"/>
      <c r="BA8" s="475"/>
      <c r="BB8" s="475"/>
      <c r="BC8" s="475"/>
      <c r="BD8" s="475"/>
      <c r="BE8" s="475"/>
    </row>
    <row r="9" spans="4:57" ht="6" customHeight="1">
      <c r="D9" s="132"/>
      <c r="E9" s="132"/>
      <c r="F9" s="132"/>
      <c r="G9" s="132"/>
      <c r="H9" s="132"/>
      <c r="I9" s="132"/>
      <c r="J9" s="132"/>
      <c r="K9" s="132"/>
      <c r="L9" s="132"/>
      <c r="M9" s="132"/>
      <c r="N9" s="132"/>
      <c r="O9" s="132"/>
      <c r="P9" s="132"/>
      <c r="Q9" s="132"/>
      <c r="R9" s="132"/>
      <c r="S9" s="132"/>
      <c r="T9" s="132"/>
      <c r="U9" s="132"/>
      <c r="V9" s="132"/>
      <c r="W9" s="132"/>
      <c r="X9" s="132"/>
      <c r="Y9" s="132"/>
      <c r="Z9" s="132"/>
      <c r="AA9" s="132"/>
      <c r="AB9" s="132"/>
      <c r="AC9" s="132"/>
      <c r="AD9" s="132"/>
      <c r="AE9" s="132"/>
      <c r="AF9" s="132"/>
      <c r="AG9" s="132"/>
      <c r="AH9" s="132"/>
      <c r="AI9" s="132"/>
      <c r="AJ9" s="132"/>
      <c r="AK9" s="132"/>
      <c r="AL9" s="132"/>
      <c r="AM9" s="132"/>
      <c r="AN9" s="132"/>
      <c r="AO9" s="132"/>
      <c r="AP9" s="132"/>
      <c r="AQ9" s="132"/>
      <c r="AR9" s="132"/>
      <c r="AS9" s="132"/>
      <c r="AT9" s="132"/>
      <c r="AU9" s="132"/>
      <c r="AV9" s="132"/>
      <c r="AW9" s="132"/>
      <c r="AZ9" s="475"/>
      <c r="BA9" s="475"/>
      <c r="BB9" s="475"/>
      <c r="BC9" s="475"/>
      <c r="BD9" s="475"/>
      <c r="BE9" s="475"/>
    </row>
    <row r="10" spans="4:57" ht="27" customHeight="1">
      <c r="D10" s="278" t="str">
        <f>IF(subjek="áno","Poistník:",IF(subjek="nie","Poistník:",""))</f>
        <v/>
      </c>
      <c r="E10" s="132"/>
      <c r="F10" s="132"/>
      <c r="G10" s="132"/>
      <c r="H10" s="132"/>
      <c r="I10" s="132"/>
      <c r="J10" s="132"/>
      <c r="K10" s="132"/>
      <c r="L10" s="132"/>
      <c r="M10" s="132"/>
      <c r="N10" s="132"/>
      <c r="O10" s="132"/>
      <c r="P10" s="132"/>
      <c r="Q10" s="132"/>
      <c r="R10" s="132"/>
      <c r="S10" s="132"/>
      <c r="T10" s="132"/>
      <c r="U10" s="132"/>
      <c r="V10" s="132"/>
      <c r="W10" s="475" t="str">
        <f ca="1">IF(AND(test1="O.K.",test2="O.K."),CONCATENATE(vstupne_udaje!D11,", ",vstupne_udaje!D12,", ",vstupne_udaje!D13,"  ",vstupne_udaje!D14),"?")</f>
        <v>?</v>
      </c>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Z10" s="475"/>
      <c r="BA10" s="475"/>
      <c r="BB10" s="475"/>
      <c r="BC10" s="475"/>
      <c r="BD10" s="475"/>
      <c r="BE10" s="475"/>
    </row>
    <row r="11" spans="4:57" ht="6" customHeight="1">
      <c r="D11" s="45"/>
      <c r="E11" s="132"/>
      <c r="F11" s="132"/>
      <c r="G11" s="132"/>
      <c r="H11" s="132"/>
      <c r="I11" s="132"/>
      <c r="J11" s="132"/>
      <c r="K11" s="132"/>
      <c r="L11" s="132"/>
      <c r="M11" s="132"/>
      <c r="N11" s="132"/>
      <c r="O11" s="132"/>
      <c r="P11" s="132"/>
      <c r="Q11" s="132"/>
      <c r="R11" s="132"/>
      <c r="S11" s="132"/>
      <c r="T11" s="132"/>
      <c r="U11" s="132"/>
      <c r="V11" s="132"/>
      <c r="W11" s="190"/>
      <c r="X11" s="190"/>
      <c r="Y11" s="190"/>
      <c r="Z11" s="190"/>
      <c r="AA11" s="190"/>
      <c r="AB11" s="190"/>
      <c r="AC11" s="190"/>
      <c r="AD11" s="190"/>
      <c r="AE11" s="190"/>
      <c r="AF11" s="190"/>
      <c r="AG11" s="190"/>
      <c r="AH11" s="190"/>
      <c r="AI11" s="190"/>
      <c r="AJ11" s="190"/>
      <c r="AK11" s="190"/>
      <c r="AL11" s="190"/>
      <c r="AM11" s="190"/>
      <c r="AN11" s="190"/>
      <c r="AO11" s="190"/>
      <c r="AP11" s="190"/>
      <c r="AQ11" s="190"/>
      <c r="AR11" s="190"/>
      <c r="AS11" s="190"/>
      <c r="AT11" s="190"/>
      <c r="AU11" s="190"/>
      <c r="AV11" s="190"/>
      <c r="AW11" s="190"/>
      <c r="AZ11" s="475"/>
      <c r="BA11" s="475"/>
      <c r="BB11" s="475"/>
      <c r="BC11" s="475"/>
      <c r="BD11" s="475"/>
      <c r="BE11" s="475"/>
    </row>
    <row r="12" spans="4:57" ht="27" customHeight="1">
      <c r="D12" s="278" t="str">
        <f>IF(subjek="áno","",IF(subjek="nie","Škola (názov a sídlo):",""))</f>
        <v/>
      </c>
      <c r="E12" s="132"/>
      <c r="F12" s="132"/>
      <c r="G12" s="132"/>
      <c r="H12" s="132"/>
      <c r="I12" s="132"/>
      <c r="J12" s="132"/>
      <c r="K12" s="132"/>
      <c r="L12" s="132"/>
      <c r="M12" s="132"/>
      <c r="N12" s="132"/>
      <c r="O12" s="132"/>
      <c r="P12" s="132"/>
      <c r="Q12" s="132"/>
      <c r="R12" s="132"/>
      <c r="S12" s="132"/>
      <c r="T12" s="132"/>
      <c r="U12" s="132"/>
      <c r="V12" s="132"/>
      <c r="W12" s="475" t="str">
        <f ca="1">IF(AND(test1="O.K.",test2="O.K.",subjek="nie"),CONCATENATE(vstupne_udaje!D23,", ",vstupne_udaje!D24,", ",vstupne_udaje!D25,"  ",vstupne_udaje!D26),"?")</f>
        <v>?</v>
      </c>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Z12" s="475"/>
      <c r="BA12" s="475"/>
      <c r="BB12" s="475"/>
      <c r="BC12" s="475"/>
      <c r="BD12" s="475"/>
      <c r="BE12" s="475"/>
    </row>
    <row r="13" spans="4:57" ht="6" customHeight="1">
      <c r="D13" s="132"/>
      <c r="E13" s="132"/>
      <c r="F13" s="132"/>
      <c r="G13" s="132"/>
      <c r="H13" s="132"/>
      <c r="I13" s="132"/>
      <c r="J13" s="132"/>
      <c r="K13" s="132"/>
      <c r="L13" s="132"/>
      <c r="M13" s="132"/>
      <c r="N13" s="132"/>
      <c r="O13" s="132"/>
      <c r="P13" s="132"/>
      <c r="Q13" s="132"/>
      <c r="R13" s="132"/>
      <c r="S13" s="132"/>
      <c r="T13" s="132"/>
      <c r="U13" s="132"/>
      <c r="V13" s="132"/>
      <c r="W13" s="132"/>
      <c r="X13" s="132"/>
      <c r="Y13" s="132"/>
      <c r="Z13" s="132"/>
      <c r="AA13" s="132"/>
      <c r="AB13" s="132"/>
      <c r="AC13" s="132"/>
      <c r="AD13" s="132"/>
      <c r="AE13" s="132"/>
      <c r="AF13" s="132"/>
      <c r="AG13" s="132"/>
      <c r="AH13" s="132"/>
      <c r="AI13" s="132"/>
      <c r="AJ13" s="132"/>
      <c r="AK13" s="132"/>
      <c r="AL13" s="132"/>
      <c r="AM13" s="132"/>
      <c r="AN13" s="132"/>
      <c r="AO13" s="132"/>
      <c r="AP13" s="132"/>
      <c r="AQ13" s="132"/>
      <c r="AR13" s="132"/>
      <c r="AS13" s="132"/>
      <c r="AT13" s="132"/>
      <c r="AU13" s="132"/>
      <c r="AV13" s="132"/>
      <c r="AW13" s="132"/>
      <c r="AZ13" s="475"/>
      <c r="BA13" s="475"/>
      <c r="BB13" s="475"/>
      <c r="BC13" s="475"/>
      <c r="BD13" s="475"/>
      <c r="BE13" s="475"/>
    </row>
    <row r="14" spans="4:57">
      <c r="D14" s="205" t="s">
        <v>42</v>
      </c>
      <c r="E14" s="132"/>
      <c r="F14" s="132"/>
      <c r="G14" s="132"/>
      <c r="H14" s="132"/>
      <c r="I14" s="132"/>
      <c r="J14" s="132"/>
      <c r="K14" s="132"/>
      <c r="L14" s="132"/>
      <c r="M14" s="132"/>
      <c r="N14" s="132"/>
      <c r="O14" s="132"/>
      <c r="P14" s="132"/>
      <c r="Q14" s="132"/>
      <c r="R14" s="132"/>
      <c r="S14" s="132"/>
      <c r="T14" s="132"/>
      <c r="U14" s="132"/>
      <c r="V14" s="132"/>
      <c r="W14" s="636"/>
      <c r="X14" s="636"/>
      <c r="Y14" s="636"/>
      <c r="Z14" s="636"/>
      <c r="AA14" s="636"/>
      <c r="AB14" s="636"/>
      <c r="AC14" s="636"/>
      <c r="AD14" s="636"/>
      <c r="AE14" s="636"/>
      <c r="AF14" s="636"/>
      <c r="AG14" s="636"/>
      <c r="AH14" s="636"/>
      <c r="AI14" s="636"/>
      <c r="AJ14" s="636"/>
      <c r="AK14" s="636"/>
      <c r="AL14" s="636"/>
      <c r="AM14" s="636"/>
      <c r="AN14" s="132"/>
      <c r="AO14" s="132"/>
      <c r="AP14" s="132"/>
      <c r="AQ14" s="132"/>
      <c r="AR14" s="132"/>
      <c r="AS14" s="132"/>
      <c r="AT14" s="132"/>
      <c r="AU14" s="132"/>
      <c r="AV14" s="132"/>
      <c r="AW14" s="132"/>
      <c r="AZ14" s="475"/>
      <c r="BA14" s="475"/>
      <c r="BB14" s="475"/>
      <c r="BC14" s="475"/>
      <c r="BD14" s="475"/>
      <c r="BE14" s="475"/>
    </row>
    <row r="15" spans="4:57" ht="9.9" customHeight="1">
      <c r="D15" s="132"/>
      <c r="E15" s="132"/>
      <c r="F15" s="132"/>
      <c r="G15" s="132"/>
      <c r="H15" s="132"/>
      <c r="I15" s="132"/>
      <c r="J15" s="132"/>
      <c r="K15" s="132"/>
      <c r="L15" s="132"/>
      <c r="M15" s="132"/>
      <c r="N15" s="132"/>
      <c r="O15" s="132"/>
      <c r="P15" s="132"/>
      <c r="Q15" s="132"/>
      <c r="R15" s="132"/>
      <c r="S15" s="132"/>
      <c r="T15" s="132"/>
      <c r="U15" s="132"/>
      <c r="V15" s="132"/>
      <c r="W15" s="193"/>
      <c r="X15" s="193"/>
      <c r="Y15" s="193"/>
      <c r="Z15" s="193"/>
      <c r="AA15" s="193"/>
      <c r="AB15" s="193"/>
      <c r="AC15" s="193"/>
      <c r="AD15" s="193"/>
      <c r="AE15" s="193"/>
      <c r="AF15" s="193"/>
      <c r="AG15" s="193"/>
      <c r="AH15" s="193"/>
      <c r="AI15" s="193"/>
      <c r="AJ15" s="193"/>
      <c r="AK15" s="193"/>
      <c r="AL15" s="193"/>
      <c r="AM15" s="193"/>
      <c r="AN15" s="132"/>
      <c r="AO15" s="132"/>
      <c r="AP15" s="132"/>
      <c r="AQ15" s="132"/>
      <c r="AR15" s="132"/>
      <c r="AS15" s="132"/>
      <c r="AT15" s="132"/>
      <c r="AU15" s="132"/>
      <c r="AV15" s="132"/>
      <c r="AW15" s="132"/>
      <c r="AZ15" s="475"/>
      <c r="BA15" s="475"/>
      <c r="BB15" s="475"/>
      <c r="BC15" s="475"/>
      <c r="BD15" s="475"/>
      <c r="BE15" s="475"/>
    </row>
    <row r="16" spans="4:57" ht="9.9" customHeight="1">
      <c r="D16" s="132"/>
      <c r="E16" s="132"/>
      <c r="F16" s="132"/>
      <c r="G16" s="132"/>
      <c r="H16" s="132"/>
      <c r="I16" s="132"/>
      <c r="J16" s="132"/>
      <c r="K16" s="132"/>
      <c r="L16" s="132"/>
      <c r="M16" s="132"/>
      <c r="N16" s="132"/>
      <c r="O16" s="132"/>
      <c r="P16" s="132"/>
      <c r="Q16" s="132"/>
      <c r="R16" s="132"/>
      <c r="S16" s="132"/>
      <c r="T16" s="132"/>
      <c r="U16" s="132"/>
      <c r="V16" s="132"/>
      <c r="W16" s="193"/>
      <c r="X16" s="193"/>
      <c r="Y16" s="193"/>
      <c r="Z16" s="193"/>
      <c r="AA16" s="193"/>
      <c r="AB16" s="193"/>
      <c r="AC16" s="193"/>
      <c r="AD16" s="193"/>
      <c r="AE16" s="193"/>
      <c r="AF16" s="193"/>
      <c r="AG16" s="193"/>
      <c r="AH16" s="193"/>
      <c r="AI16" s="193"/>
      <c r="AJ16" s="193"/>
      <c r="AK16" s="193"/>
      <c r="AL16" s="193"/>
      <c r="AM16" s="193"/>
      <c r="AN16" s="132"/>
      <c r="AO16" s="132"/>
      <c r="AP16" s="132"/>
      <c r="AQ16" s="132"/>
      <c r="AR16" s="132"/>
      <c r="AS16" s="132"/>
      <c r="AT16" s="132"/>
      <c r="AU16" s="132"/>
      <c r="AV16" s="132"/>
      <c r="AW16" s="132"/>
      <c r="AZ16" s="475"/>
      <c r="BA16" s="475"/>
      <c r="BB16" s="475"/>
      <c r="BC16" s="475"/>
      <c r="BD16" s="475"/>
      <c r="BE16" s="475"/>
    </row>
    <row r="17" spans="4:57" ht="16.5" customHeight="1">
      <c r="D17" s="621" t="s">
        <v>247</v>
      </c>
      <c r="E17" s="622"/>
      <c r="F17" s="622"/>
      <c r="G17" s="622"/>
      <c r="H17" s="622"/>
      <c r="I17" s="622"/>
      <c r="J17" s="622"/>
      <c r="K17" s="622"/>
      <c r="L17" s="622"/>
      <c r="M17" s="622"/>
      <c r="N17" s="622"/>
      <c r="O17" s="622"/>
      <c r="P17" s="622"/>
      <c r="Q17" s="622"/>
      <c r="R17" s="622"/>
      <c r="S17" s="622"/>
      <c r="T17" s="622"/>
      <c r="U17" s="622"/>
      <c r="V17" s="622"/>
      <c r="W17" s="622"/>
      <c r="X17" s="622"/>
      <c r="Y17" s="622"/>
      <c r="Z17" s="622"/>
      <c r="AA17" s="622"/>
      <c r="AB17" s="622"/>
      <c r="AC17" s="622"/>
      <c r="AD17" s="622"/>
      <c r="AE17" s="622"/>
      <c r="AF17" s="622"/>
      <c r="AG17" s="622"/>
      <c r="AH17" s="622"/>
      <c r="AI17" s="622"/>
      <c r="AJ17" s="622"/>
      <c r="AK17" s="622"/>
      <c r="AL17" s="622"/>
      <c r="AM17" s="622"/>
      <c r="AN17" s="622"/>
      <c r="AO17" s="622"/>
      <c r="AP17" s="622"/>
      <c r="AQ17" s="622"/>
      <c r="AR17" s="622"/>
      <c r="AS17" s="622"/>
      <c r="AT17" s="622"/>
      <c r="AU17" s="622"/>
      <c r="AV17" s="622"/>
      <c r="AW17" s="623"/>
      <c r="AZ17" s="475"/>
      <c r="BA17" s="475"/>
      <c r="BB17" s="475"/>
      <c r="BC17" s="475"/>
      <c r="BD17" s="475"/>
      <c r="BE17" s="475"/>
    </row>
    <row r="18" spans="4:57" ht="14.4" customHeight="1">
      <c r="D18" s="616" t="s">
        <v>298</v>
      </c>
      <c r="E18" s="616"/>
      <c r="F18" s="616"/>
      <c r="G18" s="616"/>
      <c r="H18" s="616"/>
      <c r="I18" s="616"/>
      <c r="J18" s="616"/>
      <c r="K18" s="616"/>
      <c r="L18" s="616"/>
      <c r="M18" s="616"/>
      <c r="N18" s="616"/>
      <c r="O18" s="616"/>
      <c r="P18" s="616"/>
      <c r="Q18" s="616"/>
      <c r="R18" s="616"/>
      <c r="S18" s="616"/>
      <c r="T18" s="616"/>
      <c r="U18" s="616"/>
      <c r="V18" s="612"/>
      <c r="W18" s="612"/>
      <c r="X18" s="612"/>
      <c r="Y18" s="612"/>
      <c r="Z18" s="612"/>
      <c r="AA18" s="612"/>
      <c r="AB18" s="612"/>
      <c r="AC18" s="612"/>
      <c r="AD18" s="612"/>
      <c r="AE18" s="612"/>
      <c r="AF18" s="612"/>
      <c r="AG18" s="612"/>
      <c r="AH18" s="612"/>
      <c r="AI18" s="612"/>
      <c r="AJ18" s="612"/>
      <c r="AK18" s="612"/>
      <c r="AL18" s="612"/>
      <c r="AM18" s="612"/>
      <c r="AN18" s="612"/>
      <c r="AO18" s="612"/>
      <c r="AP18" s="612"/>
      <c r="AQ18" s="612"/>
      <c r="AR18" s="612"/>
      <c r="AS18" s="612"/>
      <c r="AT18" s="612"/>
      <c r="AU18" s="612"/>
      <c r="AV18" s="612"/>
      <c r="AW18" s="612"/>
      <c r="AZ18" s="475"/>
      <c r="BA18" s="475"/>
      <c r="BB18" s="475"/>
      <c r="BC18" s="475"/>
      <c r="BD18" s="475"/>
      <c r="BE18" s="475"/>
    </row>
    <row r="19" spans="4:57" ht="27" customHeight="1">
      <c r="D19" s="616" t="s">
        <v>248</v>
      </c>
      <c r="E19" s="616"/>
      <c r="F19" s="616"/>
      <c r="G19" s="616"/>
      <c r="H19" s="616"/>
      <c r="I19" s="616"/>
      <c r="J19" s="616"/>
      <c r="K19" s="616"/>
      <c r="L19" s="616"/>
      <c r="M19" s="616"/>
      <c r="N19" s="616"/>
      <c r="O19" s="616"/>
      <c r="P19" s="616"/>
      <c r="Q19" s="616"/>
      <c r="R19" s="616"/>
      <c r="S19" s="616"/>
      <c r="T19" s="616"/>
      <c r="U19" s="616"/>
      <c r="V19" s="612" t="s">
        <v>252</v>
      </c>
      <c r="W19" s="612"/>
      <c r="X19" s="612"/>
      <c r="Y19" s="612"/>
      <c r="Z19" s="612"/>
      <c r="AA19" s="612"/>
      <c r="AB19" s="612"/>
      <c r="AC19" s="612"/>
      <c r="AD19" s="612"/>
      <c r="AE19" s="612"/>
      <c r="AF19" s="612"/>
      <c r="AG19" s="612"/>
      <c r="AH19" s="612"/>
      <c r="AI19" s="612"/>
      <c r="AJ19" s="612"/>
      <c r="AK19" s="612"/>
      <c r="AL19" s="612"/>
      <c r="AM19" s="612"/>
      <c r="AN19" s="612"/>
      <c r="AO19" s="612"/>
      <c r="AP19" s="612"/>
      <c r="AQ19" s="612"/>
      <c r="AR19" s="612"/>
      <c r="AS19" s="612"/>
      <c r="AT19" s="612"/>
      <c r="AU19" s="612"/>
      <c r="AV19" s="612"/>
      <c r="AW19" s="612"/>
      <c r="AZ19" s="475"/>
      <c r="BA19" s="475"/>
      <c r="BB19" s="475"/>
      <c r="BC19" s="475"/>
      <c r="BD19" s="475"/>
      <c r="BE19" s="475"/>
    </row>
    <row r="20" spans="4:57" ht="14.4" customHeight="1">
      <c r="D20" s="617" t="s">
        <v>246</v>
      </c>
      <c r="E20" s="617"/>
      <c r="F20" s="617"/>
      <c r="G20" s="617"/>
      <c r="H20" s="617"/>
      <c r="I20" s="617"/>
      <c r="J20" s="617"/>
      <c r="K20" s="617"/>
      <c r="L20" s="617"/>
      <c r="M20" s="617"/>
      <c r="N20" s="617"/>
      <c r="O20" s="617"/>
      <c r="P20" s="617"/>
      <c r="Q20" s="617"/>
      <c r="R20" s="617"/>
      <c r="S20" s="617"/>
      <c r="T20" s="617"/>
      <c r="U20" s="617"/>
      <c r="V20" s="614" t="s">
        <v>245</v>
      </c>
      <c r="W20" s="613"/>
      <c r="X20" s="613"/>
      <c r="Y20" s="613"/>
      <c r="Z20" s="613"/>
      <c r="AA20" s="613"/>
      <c r="AB20" s="613"/>
      <c r="AC20" s="613"/>
      <c r="AD20" s="613"/>
      <c r="AE20" s="613"/>
      <c r="AF20" s="613"/>
      <c r="AG20" s="613"/>
      <c r="AH20" s="613"/>
      <c r="AI20" s="613"/>
      <c r="AJ20" s="613"/>
      <c r="AK20" s="613"/>
      <c r="AL20" s="613"/>
      <c r="AM20" s="613"/>
      <c r="AN20" s="613"/>
      <c r="AO20" s="613"/>
      <c r="AP20" s="613"/>
      <c r="AQ20" s="613"/>
      <c r="AR20" s="613"/>
      <c r="AS20" s="613"/>
      <c r="AT20" s="613"/>
      <c r="AU20" s="613"/>
      <c r="AV20" s="613"/>
      <c r="AW20" s="613"/>
      <c r="AZ20" s="475"/>
      <c r="BA20" s="475"/>
      <c r="BB20" s="475"/>
      <c r="BC20" s="475"/>
      <c r="BD20" s="475"/>
      <c r="BE20" s="475"/>
    </row>
    <row r="21" spans="4:57" ht="14.4" customHeight="1">
      <c r="D21" s="611" t="s">
        <v>178</v>
      </c>
      <c r="E21" s="611"/>
      <c r="F21" s="611"/>
      <c r="G21" s="611"/>
      <c r="H21" s="611"/>
      <c r="I21" s="611"/>
      <c r="J21" s="611"/>
      <c r="K21" s="611"/>
      <c r="L21" s="611"/>
      <c r="M21" s="611"/>
      <c r="N21" s="611"/>
      <c r="O21" s="611"/>
      <c r="P21" s="611"/>
      <c r="Q21" s="611"/>
      <c r="R21" s="611"/>
      <c r="S21" s="611"/>
      <c r="T21" s="611"/>
      <c r="U21" s="611"/>
      <c r="V21" s="615" t="str">
        <f ca="1">IF(AND(test1= "O.K.",test2="O.K."),REPLACE(vstupne_udaje!D4,3,1,""),"?")</f>
        <v>?</v>
      </c>
      <c r="W21" s="615"/>
      <c r="X21" s="615"/>
      <c r="Y21" s="615"/>
      <c r="Z21" s="615"/>
      <c r="AA21" s="615"/>
      <c r="AB21" s="615"/>
      <c r="AC21" s="615"/>
      <c r="AD21" s="615"/>
      <c r="AE21" s="615"/>
      <c r="AF21" s="615"/>
      <c r="AG21" s="615"/>
      <c r="AH21" s="615"/>
      <c r="AI21" s="615"/>
      <c r="AJ21" s="615"/>
      <c r="AK21" s="615"/>
      <c r="AL21" s="615"/>
      <c r="AM21" s="615"/>
      <c r="AN21" s="615"/>
      <c r="AO21" s="615"/>
      <c r="AP21" s="615"/>
      <c r="AQ21" s="615"/>
      <c r="AR21" s="615"/>
      <c r="AS21" s="615"/>
      <c r="AT21" s="615"/>
      <c r="AU21" s="615"/>
      <c r="AV21" s="615"/>
      <c r="AW21" s="615"/>
      <c r="AZ21" s="475"/>
      <c r="BA21" s="475"/>
      <c r="BB21" s="475"/>
      <c r="BC21" s="475"/>
      <c r="BD21" s="475"/>
      <c r="BE21" s="475"/>
    </row>
    <row r="22" spans="4:57" ht="9.9" customHeight="1">
      <c r="D22" s="132"/>
      <c r="E22" s="132"/>
      <c r="F22" s="132"/>
      <c r="G22" s="132"/>
      <c r="H22" s="132"/>
      <c r="I22" s="132"/>
      <c r="J22" s="132"/>
      <c r="K22" s="132"/>
      <c r="L22" s="132"/>
      <c r="M22" s="132"/>
      <c r="N22" s="132"/>
      <c r="O22" s="132"/>
      <c r="P22" s="132"/>
      <c r="Q22" s="132"/>
      <c r="R22" s="132"/>
      <c r="S22" s="132"/>
      <c r="T22" s="132"/>
      <c r="U22" s="132"/>
      <c r="V22" s="132"/>
      <c r="W22" s="193"/>
      <c r="X22" s="193"/>
      <c r="Y22" s="193"/>
      <c r="Z22" s="193"/>
      <c r="AA22" s="193"/>
      <c r="AB22" s="193"/>
      <c r="AC22" s="193"/>
      <c r="AD22" s="193"/>
      <c r="AE22" s="193"/>
      <c r="AF22" s="193"/>
      <c r="AG22" s="193"/>
      <c r="AH22" s="193"/>
      <c r="AI22" s="193"/>
      <c r="AJ22" s="193"/>
      <c r="AK22" s="193"/>
      <c r="AL22" s="193"/>
      <c r="AM22" s="193"/>
      <c r="AN22" s="132"/>
      <c r="AO22" s="132"/>
      <c r="AP22" s="132"/>
      <c r="AQ22" s="132"/>
      <c r="AR22" s="132"/>
      <c r="AS22" s="132"/>
      <c r="AT22" s="132"/>
      <c r="AU22" s="132"/>
      <c r="AV22" s="132"/>
      <c r="AW22" s="132"/>
      <c r="AZ22" s="475"/>
      <c r="BA22" s="475"/>
      <c r="BB22" s="475"/>
      <c r="BC22" s="475"/>
      <c r="BD22" s="475"/>
      <c r="BE22" s="475"/>
    </row>
    <row r="23" spans="4:57" ht="16.5" hidden="1" customHeight="1">
      <c r="D23" s="621" t="s">
        <v>171</v>
      </c>
      <c r="E23" s="622"/>
      <c r="F23" s="622"/>
      <c r="G23" s="622"/>
      <c r="H23" s="622"/>
      <c r="I23" s="622"/>
      <c r="J23" s="622"/>
      <c r="K23" s="622"/>
      <c r="L23" s="622"/>
      <c r="M23" s="622"/>
      <c r="N23" s="622"/>
      <c r="O23" s="622"/>
      <c r="P23" s="622"/>
      <c r="Q23" s="622"/>
      <c r="R23" s="622"/>
      <c r="S23" s="622"/>
      <c r="T23" s="622"/>
      <c r="U23" s="622"/>
      <c r="V23" s="622"/>
      <c r="W23" s="622"/>
      <c r="X23" s="622"/>
      <c r="Y23" s="622"/>
      <c r="Z23" s="622"/>
      <c r="AA23" s="622"/>
      <c r="AB23" s="622"/>
      <c r="AC23" s="622"/>
      <c r="AD23" s="622"/>
      <c r="AE23" s="622"/>
      <c r="AF23" s="622"/>
      <c r="AG23" s="622"/>
      <c r="AH23" s="622"/>
      <c r="AI23" s="622"/>
      <c r="AJ23" s="622"/>
      <c r="AK23" s="622"/>
      <c r="AL23" s="622"/>
      <c r="AM23" s="622"/>
      <c r="AN23" s="622"/>
      <c r="AO23" s="622"/>
      <c r="AP23" s="622"/>
      <c r="AQ23" s="622"/>
      <c r="AR23" s="622"/>
      <c r="AS23" s="622"/>
      <c r="AT23" s="622"/>
      <c r="AU23" s="622"/>
      <c r="AV23" s="622"/>
      <c r="AW23" s="623"/>
      <c r="AZ23" s="475"/>
      <c r="BA23" s="475"/>
      <c r="BB23" s="475"/>
      <c r="BC23" s="475"/>
      <c r="BD23" s="475"/>
      <c r="BE23" s="475"/>
    </row>
    <row r="24" spans="4:57" ht="14.4" hidden="1" customHeight="1">
      <c r="D24" s="617" t="s">
        <v>173</v>
      </c>
      <c r="E24" s="617"/>
      <c r="F24" s="617"/>
      <c r="G24" s="617"/>
      <c r="H24" s="617"/>
      <c r="I24" s="617"/>
      <c r="J24" s="617"/>
      <c r="K24" s="617"/>
      <c r="L24" s="617"/>
      <c r="M24" s="617"/>
      <c r="N24" s="617"/>
      <c r="O24" s="617"/>
      <c r="P24" s="617"/>
      <c r="Q24" s="617"/>
      <c r="R24" s="617"/>
      <c r="S24" s="617"/>
      <c r="T24" s="617"/>
      <c r="U24" s="617"/>
      <c r="V24" s="612"/>
      <c r="W24" s="612"/>
      <c r="X24" s="612"/>
      <c r="Y24" s="612"/>
      <c r="Z24" s="612"/>
      <c r="AA24" s="612"/>
      <c r="AB24" s="612"/>
      <c r="AC24" s="612"/>
      <c r="AD24" s="612"/>
      <c r="AE24" s="612"/>
      <c r="AF24" s="612"/>
      <c r="AG24" s="612"/>
      <c r="AH24" s="612"/>
      <c r="AI24" s="612"/>
      <c r="AJ24" s="612"/>
      <c r="AK24" s="612"/>
      <c r="AL24" s="612"/>
      <c r="AM24" s="612"/>
      <c r="AN24" s="612"/>
      <c r="AO24" s="612"/>
      <c r="AP24" s="612"/>
      <c r="AQ24" s="612"/>
      <c r="AR24" s="612"/>
      <c r="AS24" s="612"/>
      <c r="AT24" s="612"/>
      <c r="AU24" s="612"/>
      <c r="AV24" s="612"/>
      <c r="AW24" s="612"/>
      <c r="AZ24" s="475"/>
      <c r="BA24" s="475"/>
      <c r="BB24" s="475"/>
      <c r="BC24" s="475"/>
      <c r="BD24" s="475"/>
      <c r="BE24" s="475"/>
    </row>
    <row r="25" spans="4:57" ht="27" hidden="1" customHeight="1">
      <c r="D25" s="616" t="s">
        <v>278</v>
      </c>
      <c r="E25" s="616"/>
      <c r="F25" s="616"/>
      <c r="G25" s="616"/>
      <c r="H25" s="616"/>
      <c r="I25" s="616"/>
      <c r="J25" s="616"/>
      <c r="K25" s="616"/>
      <c r="L25" s="616"/>
      <c r="M25" s="616"/>
      <c r="N25" s="616"/>
      <c r="O25" s="616"/>
      <c r="P25" s="616"/>
      <c r="Q25" s="616"/>
      <c r="R25" s="616"/>
      <c r="S25" s="616"/>
      <c r="T25" s="616"/>
      <c r="U25" s="616"/>
      <c r="V25" s="612"/>
      <c r="W25" s="612"/>
      <c r="X25" s="612"/>
      <c r="Y25" s="612"/>
      <c r="Z25" s="612"/>
      <c r="AA25" s="612"/>
      <c r="AB25" s="612"/>
      <c r="AC25" s="612"/>
      <c r="AD25" s="612"/>
      <c r="AE25" s="612"/>
      <c r="AF25" s="612"/>
      <c r="AG25" s="612"/>
      <c r="AH25" s="612"/>
      <c r="AI25" s="612"/>
      <c r="AJ25" s="612"/>
      <c r="AK25" s="612"/>
      <c r="AL25" s="612"/>
      <c r="AM25" s="612"/>
      <c r="AN25" s="612"/>
      <c r="AO25" s="612"/>
      <c r="AP25" s="612"/>
      <c r="AQ25" s="612"/>
      <c r="AR25" s="612"/>
      <c r="AS25" s="612"/>
      <c r="AT25" s="612"/>
      <c r="AU25" s="612"/>
      <c r="AV25" s="612"/>
      <c r="AW25" s="612"/>
    </row>
    <row r="26" spans="4:57" ht="27" hidden="1" customHeight="1">
      <c r="D26" s="616" t="s">
        <v>174</v>
      </c>
      <c r="E26" s="616"/>
      <c r="F26" s="616"/>
      <c r="G26" s="616"/>
      <c r="H26" s="616"/>
      <c r="I26" s="616"/>
      <c r="J26" s="616"/>
      <c r="K26" s="616"/>
      <c r="L26" s="616"/>
      <c r="M26" s="616"/>
      <c r="N26" s="616"/>
      <c r="O26" s="616"/>
      <c r="P26" s="616"/>
      <c r="Q26" s="616"/>
      <c r="R26" s="616"/>
      <c r="S26" s="616"/>
      <c r="T26" s="616"/>
      <c r="U26" s="616"/>
      <c r="V26" s="612" t="s">
        <v>252</v>
      </c>
      <c r="W26" s="612"/>
      <c r="X26" s="612"/>
      <c r="Y26" s="612"/>
      <c r="Z26" s="612"/>
      <c r="AA26" s="612"/>
      <c r="AB26" s="612"/>
      <c r="AC26" s="612"/>
      <c r="AD26" s="612"/>
      <c r="AE26" s="612"/>
      <c r="AF26" s="612"/>
      <c r="AG26" s="612"/>
      <c r="AH26" s="612"/>
      <c r="AI26" s="612"/>
      <c r="AJ26" s="612"/>
      <c r="AK26" s="612"/>
      <c r="AL26" s="612"/>
      <c r="AM26" s="612"/>
      <c r="AN26" s="612"/>
      <c r="AO26" s="612"/>
      <c r="AP26" s="612"/>
      <c r="AQ26" s="612"/>
      <c r="AR26" s="612"/>
      <c r="AS26" s="612"/>
      <c r="AT26" s="612"/>
      <c r="AU26" s="612"/>
      <c r="AV26" s="612"/>
      <c r="AW26" s="612"/>
    </row>
    <row r="27" spans="4:57" ht="16.5" hidden="1" customHeight="1">
      <c r="D27" s="637" t="s">
        <v>172</v>
      </c>
      <c r="E27" s="637"/>
      <c r="F27" s="637"/>
      <c r="G27" s="637"/>
      <c r="H27" s="637"/>
      <c r="I27" s="637"/>
      <c r="J27" s="637"/>
      <c r="K27" s="637"/>
      <c r="L27" s="637"/>
      <c r="M27" s="637"/>
      <c r="N27" s="637"/>
      <c r="O27" s="637"/>
      <c r="P27" s="637"/>
      <c r="Q27" s="637"/>
      <c r="R27" s="637"/>
      <c r="S27" s="637"/>
      <c r="T27" s="637"/>
      <c r="U27" s="637"/>
      <c r="V27" s="637"/>
      <c r="W27" s="637"/>
      <c r="X27" s="637"/>
      <c r="Y27" s="637"/>
      <c r="Z27" s="637"/>
      <c r="AA27" s="637"/>
      <c r="AB27" s="637"/>
      <c r="AC27" s="637"/>
      <c r="AD27" s="637"/>
      <c r="AE27" s="637"/>
      <c r="AF27" s="637"/>
      <c r="AG27" s="637"/>
      <c r="AH27" s="637"/>
      <c r="AI27" s="637"/>
      <c r="AJ27" s="637"/>
      <c r="AK27" s="637"/>
      <c r="AL27" s="637"/>
      <c r="AM27" s="637"/>
      <c r="AN27" s="637"/>
      <c r="AO27" s="637"/>
      <c r="AP27" s="637"/>
      <c r="AQ27" s="637"/>
      <c r="AR27" s="637"/>
      <c r="AS27" s="637"/>
      <c r="AT27" s="637"/>
      <c r="AU27" s="637"/>
      <c r="AV27" s="637"/>
      <c r="AW27" s="637"/>
    </row>
    <row r="28" spans="4:57" ht="14.4" hidden="1" customHeight="1">
      <c r="D28" s="617" t="s">
        <v>175</v>
      </c>
      <c r="E28" s="617"/>
      <c r="F28" s="617"/>
      <c r="G28" s="617"/>
      <c r="H28" s="617"/>
      <c r="I28" s="617"/>
      <c r="J28" s="617"/>
      <c r="K28" s="617"/>
      <c r="L28" s="617"/>
      <c r="M28" s="617"/>
      <c r="N28" s="617"/>
      <c r="O28" s="617"/>
      <c r="P28" s="617"/>
      <c r="Q28" s="617"/>
      <c r="R28" s="617"/>
      <c r="S28" s="617"/>
      <c r="T28" s="617"/>
      <c r="U28" s="617"/>
      <c r="V28" s="613" t="s">
        <v>249</v>
      </c>
      <c r="W28" s="613"/>
      <c r="X28" s="613"/>
      <c r="Y28" s="613"/>
      <c r="Z28" s="613"/>
      <c r="AA28" s="613"/>
      <c r="AB28" s="613"/>
      <c r="AC28" s="613"/>
      <c r="AD28" s="613"/>
      <c r="AE28" s="613"/>
      <c r="AF28" s="613"/>
      <c r="AG28" s="613"/>
      <c r="AH28" s="613"/>
      <c r="AI28" s="613"/>
      <c r="AJ28" s="613"/>
      <c r="AK28" s="613"/>
      <c r="AL28" s="613"/>
      <c r="AM28" s="613"/>
      <c r="AN28" s="613"/>
      <c r="AO28" s="613"/>
      <c r="AP28" s="613"/>
      <c r="AQ28" s="613"/>
      <c r="AR28" s="613"/>
      <c r="AS28" s="613"/>
      <c r="AT28" s="613"/>
      <c r="AU28" s="613"/>
      <c r="AV28" s="613"/>
      <c r="AW28" s="613"/>
    </row>
    <row r="29" spans="4:57" ht="14.4" hidden="1" customHeight="1">
      <c r="D29" s="617" t="s">
        <v>176</v>
      </c>
      <c r="E29" s="617"/>
      <c r="F29" s="617"/>
      <c r="G29" s="617"/>
      <c r="H29" s="617"/>
      <c r="I29" s="617"/>
      <c r="J29" s="617"/>
      <c r="K29" s="617"/>
      <c r="L29" s="617"/>
      <c r="M29" s="617"/>
      <c r="N29" s="617"/>
      <c r="O29" s="617"/>
      <c r="P29" s="617"/>
      <c r="Q29" s="617"/>
      <c r="R29" s="617"/>
      <c r="S29" s="617"/>
      <c r="T29" s="617"/>
      <c r="U29" s="617"/>
      <c r="V29" s="612"/>
      <c r="W29" s="612"/>
      <c r="X29" s="612"/>
      <c r="Y29" s="612"/>
      <c r="Z29" s="612"/>
      <c r="AA29" s="612"/>
      <c r="AB29" s="612"/>
      <c r="AC29" s="612"/>
      <c r="AD29" s="612"/>
      <c r="AE29" s="612"/>
      <c r="AF29" s="612"/>
      <c r="AG29" s="612"/>
      <c r="AH29" s="612"/>
      <c r="AI29" s="612"/>
      <c r="AJ29" s="612"/>
      <c r="AK29" s="612"/>
      <c r="AL29" s="612"/>
      <c r="AM29" s="612"/>
      <c r="AN29" s="612"/>
      <c r="AO29" s="612"/>
      <c r="AP29" s="612"/>
      <c r="AQ29" s="612"/>
      <c r="AR29" s="612"/>
      <c r="AS29" s="612"/>
      <c r="AT29" s="612"/>
      <c r="AU29" s="612"/>
      <c r="AV29" s="612"/>
      <c r="AW29" s="612"/>
    </row>
    <row r="30" spans="4:57" ht="14.4" hidden="1" customHeight="1">
      <c r="D30" s="617" t="s">
        <v>177</v>
      </c>
      <c r="E30" s="617"/>
      <c r="F30" s="617"/>
      <c r="G30" s="617"/>
      <c r="H30" s="617"/>
      <c r="I30" s="617"/>
      <c r="J30" s="617"/>
      <c r="K30" s="617"/>
      <c r="L30" s="617"/>
      <c r="M30" s="617"/>
      <c r="N30" s="617"/>
      <c r="O30" s="617"/>
      <c r="P30" s="617"/>
      <c r="Q30" s="617"/>
      <c r="R30" s="617"/>
      <c r="S30" s="617"/>
      <c r="T30" s="617"/>
      <c r="U30" s="617"/>
      <c r="V30" s="613" t="s">
        <v>155</v>
      </c>
      <c r="W30" s="613"/>
      <c r="X30" s="613"/>
      <c r="Y30" s="613"/>
      <c r="Z30" s="613"/>
      <c r="AA30" s="613"/>
      <c r="AB30" s="613"/>
      <c r="AC30" s="613"/>
      <c r="AD30" s="613"/>
      <c r="AE30" s="613"/>
      <c r="AF30" s="613"/>
      <c r="AG30" s="613"/>
      <c r="AH30" s="613"/>
      <c r="AI30" s="613"/>
      <c r="AJ30" s="613"/>
      <c r="AK30" s="613"/>
      <c r="AL30" s="613"/>
      <c r="AM30" s="613"/>
      <c r="AN30" s="613"/>
      <c r="AO30" s="613"/>
      <c r="AP30" s="613"/>
      <c r="AQ30" s="613"/>
      <c r="AR30" s="613"/>
      <c r="AS30" s="613"/>
      <c r="AT30" s="613"/>
      <c r="AU30" s="613"/>
      <c r="AV30" s="613"/>
      <c r="AW30" s="613"/>
    </row>
    <row r="31" spans="4:57" ht="14.4" hidden="1" customHeight="1">
      <c r="D31" s="617" t="s">
        <v>246</v>
      </c>
      <c r="E31" s="617"/>
      <c r="F31" s="617"/>
      <c r="G31" s="617"/>
      <c r="H31" s="617"/>
      <c r="I31" s="617"/>
      <c r="J31" s="617"/>
      <c r="K31" s="617"/>
      <c r="L31" s="617"/>
      <c r="M31" s="617"/>
      <c r="N31" s="617"/>
      <c r="O31" s="617"/>
      <c r="P31" s="617"/>
      <c r="Q31" s="617"/>
      <c r="R31" s="617"/>
      <c r="S31" s="617"/>
      <c r="T31" s="617"/>
      <c r="U31" s="617"/>
      <c r="V31" s="614" t="s">
        <v>245</v>
      </c>
      <c r="W31" s="613"/>
      <c r="X31" s="613"/>
      <c r="Y31" s="613"/>
      <c r="Z31" s="613"/>
      <c r="AA31" s="613"/>
      <c r="AB31" s="613"/>
      <c r="AC31" s="613"/>
      <c r="AD31" s="613"/>
      <c r="AE31" s="613"/>
      <c r="AF31" s="613"/>
      <c r="AG31" s="613"/>
      <c r="AH31" s="613"/>
      <c r="AI31" s="613"/>
      <c r="AJ31" s="613"/>
      <c r="AK31" s="613"/>
      <c r="AL31" s="613"/>
      <c r="AM31" s="613"/>
      <c r="AN31" s="613"/>
      <c r="AO31" s="613"/>
      <c r="AP31" s="613"/>
      <c r="AQ31" s="613"/>
      <c r="AR31" s="613"/>
      <c r="AS31" s="613"/>
      <c r="AT31" s="613"/>
      <c r="AU31" s="613"/>
      <c r="AV31" s="613"/>
      <c r="AW31" s="613"/>
    </row>
    <row r="32" spans="4:57" ht="14.4" hidden="1" customHeight="1">
      <c r="D32" s="611" t="s">
        <v>178</v>
      </c>
      <c r="E32" s="611"/>
      <c r="F32" s="611"/>
      <c r="G32" s="611"/>
      <c r="H32" s="611"/>
      <c r="I32" s="611"/>
      <c r="J32" s="611"/>
      <c r="K32" s="611"/>
      <c r="L32" s="611"/>
      <c r="M32" s="611"/>
      <c r="N32" s="611"/>
      <c r="O32" s="611"/>
      <c r="P32" s="611"/>
      <c r="Q32" s="611"/>
      <c r="R32" s="611"/>
      <c r="S32" s="611"/>
      <c r="T32" s="611"/>
      <c r="U32" s="611"/>
      <c r="V32" s="615" t="str">
        <f ca="1">IF(AND(test1= "O.K.",test2="O.K."),REPLACE(vstupne_udaje!D4,3,1,""),"?")</f>
        <v>?</v>
      </c>
      <c r="W32" s="615"/>
      <c r="X32" s="615"/>
      <c r="Y32" s="615"/>
      <c r="Z32" s="615"/>
      <c r="AA32" s="615"/>
      <c r="AB32" s="615"/>
      <c r="AC32" s="615"/>
      <c r="AD32" s="615"/>
      <c r="AE32" s="615"/>
      <c r="AF32" s="615"/>
      <c r="AG32" s="615"/>
      <c r="AH32" s="615"/>
      <c r="AI32" s="615"/>
      <c r="AJ32" s="615"/>
      <c r="AK32" s="615"/>
      <c r="AL32" s="615"/>
      <c r="AM32" s="615"/>
      <c r="AN32" s="615"/>
      <c r="AO32" s="615"/>
      <c r="AP32" s="615"/>
      <c r="AQ32" s="615"/>
      <c r="AR32" s="615"/>
      <c r="AS32" s="615"/>
      <c r="AT32" s="615"/>
      <c r="AU32" s="615"/>
      <c r="AV32" s="615"/>
      <c r="AW32" s="615"/>
    </row>
    <row r="33" spans="4:49" ht="9.9" customHeight="1">
      <c r="D33" s="132"/>
      <c r="E33" s="132"/>
      <c r="F33" s="132"/>
      <c r="G33" s="132"/>
      <c r="H33" s="132"/>
      <c r="I33" s="132"/>
      <c r="J33" s="132"/>
      <c r="K33" s="132"/>
      <c r="L33" s="132"/>
      <c r="M33" s="132"/>
      <c r="N33" s="132"/>
      <c r="O33" s="132"/>
      <c r="P33" s="132"/>
      <c r="Q33" s="132"/>
      <c r="R33" s="132"/>
      <c r="S33" s="132"/>
      <c r="T33" s="132"/>
      <c r="U33" s="132"/>
      <c r="V33" s="132"/>
      <c r="W33" s="132"/>
      <c r="X33" s="132"/>
      <c r="Y33" s="132"/>
      <c r="Z33" s="132"/>
      <c r="AA33" s="132"/>
      <c r="AB33" s="132"/>
      <c r="AC33" s="132"/>
      <c r="AD33" s="132"/>
      <c r="AE33" s="132"/>
      <c r="AF33" s="132"/>
      <c r="AG33" s="132"/>
      <c r="AH33" s="132"/>
      <c r="AI33" s="132"/>
      <c r="AJ33" s="132"/>
      <c r="AK33" s="132"/>
      <c r="AL33" s="132"/>
      <c r="AM33" s="132"/>
      <c r="AN33" s="132"/>
      <c r="AO33" s="132"/>
      <c r="AP33" s="132"/>
      <c r="AQ33" s="132"/>
      <c r="AR33" s="132"/>
      <c r="AS33" s="132"/>
      <c r="AT33" s="132"/>
      <c r="AU33" s="132"/>
      <c r="AV33" s="132"/>
      <c r="AW33" s="132"/>
    </row>
    <row r="34" spans="4:49" ht="14.4" thickBot="1">
      <c r="D34" s="300"/>
      <c r="E34" s="206"/>
      <c r="F34" s="206"/>
      <c r="G34" s="206"/>
      <c r="H34" s="206"/>
      <c r="I34" s="206"/>
      <c r="J34" s="206"/>
      <c r="K34" s="206"/>
      <c r="L34" s="206"/>
      <c r="M34" s="206"/>
      <c r="N34" s="206"/>
      <c r="O34" s="206"/>
      <c r="P34" s="206"/>
      <c r="Q34" s="206"/>
      <c r="R34" s="206"/>
      <c r="S34" s="206"/>
      <c r="T34" s="206"/>
      <c r="U34" s="206"/>
      <c r="V34" s="206"/>
      <c r="W34" s="206"/>
      <c r="X34" s="206"/>
      <c r="Y34" s="206"/>
      <c r="Z34" s="206"/>
      <c r="AA34" s="206"/>
      <c r="AB34" s="206"/>
      <c r="AC34" s="206"/>
      <c r="AD34" s="206"/>
      <c r="AE34" s="206"/>
      <c r="AF34" s="206"/>
      <c r="AG34" s="206"/>
      <c r="AH34" s="206"/>
      <c r="AI34" s="206"/>
      <c r="AJ34" s="206"/>
      <c r="AK34" s="206"/>
      <c r="AL34" s="206"/>
      <c r="AM34" s="206"/>
      <c r="AN34" s="206"/>
      <c r="AO34" s="206"/>
      <c r="AP34" s="206"/>
      <c r="AQ34" s="206"/>
      <c r="AR34" s="206"/>
      <c r="AS34" s="206"/>
      <c r="AT34" s="206"/>
      <c r="AU34" s="206"/>
      <c r="AV34" s="206"/>
      <c r="AW34" s="206"/>
    </row>
    <row r="35" spans="4:49" s="190" customFormat="1" ht="16.5" customHeight="1" thickBot="1">
      <c r="D35" s="624" t="s">
        <v>299</v>
      </c>
      <c r="E35" s="625"/>
      <c r="F35" s="625"/>
      <c r="G35" s="625"/>
      <c r="H35" s="625"/>
      <c r="I35" s="625"/>
      <c r="J35" s="625"/>
      <c r="K35" s="625"/>
      <c r="L35" s="625"/>
      <c r="M35" s="625"/>
      <c r="N35" s="625"/>
      <c r="O35" s="625"/>
      <c r="P35" s="625"/>
      <c r="Q35" s="625"/>
      <c r="R35" s="625"/>
      <c r="S35" s="625"/>
      <c r="T35" s="625"/>
      <c r="U35" s="625"/>
      <c r="V35" s="625"/>
      <c r="W35" s="625"/>
      <c r="X35" s="625"/>
      <c r="Y35" s="625"/>
      <c r="Z35" s="625"/>
      <c r="AA35" s="625"/>
      <c r="AB35" s="625"/>
      <c r="AC35" s="625"/>
      <c r="AD35" s="625"/>
      <c r="AE35" s="625"/>
      <c r="AF35" s="626"/>
      <c r="AG35" s="378"/>
      <c r="AH35" s="378"/>
      <c r="AI35" s="378"/>
      <c r="AJ35" s="378"/>
      <c r="AK35" s="378"/>
      <c r="AL35" s="627"/>
      <c r="AM35" s="628"/>
      <c r="AN35" s="628"/>
      <c r="AO35" s="628"/>
      <c r="AP35" s="628"/>
      <c r="AQ35" s="628"/>
      <c r="AR35" s="628"/>
      <c r="AS35" s="628"/>
      <c r="AT35" s="628"/>
      <c r="AU35" s="628"/>
      <c r="AV35" s="628"/>
      <c r="AW35" s="629"/>
    </row>
    <row r="36" spans="4:49" ht="14.4" thickBot="1">
      <c r="D36" s="599"/>
      <c r="E36" s="599"/>
      <c r="F36" s="599"/>
      <c r="G36" s="599"/>
      <c r="H36" s="599"/>
      <c r="I36" s="599"/>
      <c r="J36" s="599"/>
      <c r="K36" s="599"/>
      <c r="L36" s="599"/>
      <c r="M36" s="599"/>
      <c r="N36" s="599"/>
      <c r="O36" s="599"/>
      <c r="P36" s="599"/>
      <c r="Q36" s="599"/>
      <c r="R36" s="599"/>
      <c r="S36" s="599"/>
      <c r="T36" s="599"/>
      <c r="U36" s="599"/>
      <c r="V36" s="600"/>
      <c r="W36" s="600"/>
      <c r="X36" s="600"/>
      <c r="Y36" s="600"/>
      <c r="Z36" s="600"/>
      <c r="AA36" s="600"/>
      <c r="AB36" s="600"/>
      <c r="AC36" s="600"/>
      <c r="AD36" s="600"/>
      <c r="AE36" s="599"/>
      <c r="AF36" s="599"/>
      <c r="AG36" s="599"/>
      <c r="AH36" s="599"/>
      <c r="AI36" s="599"/>
      <c r="AJ36" s="599"/>
      <c r="AK36" s="599"/>
      <c r="AL36" s="599"/>
      <c r="AM36" s="599"/>
      <c r="AN36" s="599"/>
      <c r="AO36" s="599"/>
      <c r="AP36" s="599"/>
      <c r="AQ36" s="599"/>
      <c r="AR36" s="599"/>
      <c r="AS36" s="601"/>
      <c r="AT36" s="601"/>
      <c r="AU36" s="601"/>
      <c r="AV36" s="601"/>
      <c r="AW36" s="601"/>
    </row>
    <row r="37" spans="4:49" ht="15" thickBot="1">
      <c r="D37" s="382" t="s">
        <v>300</v>
      </c>
      <c r="E37" s="380"/>
      <c r="F37" s="380"/>
      <c r="G37" s="380"/>
      <c r="H37" s="380"/>
      <c r="I37" s="380"/>
      <c r="J37" s="380"/>
      <c r="K37" s="380"/>
      <c r="L37" s="380"/>
      <c r="M37" s="380"/>
      <c r="N37" s="380"/>
      <c r="O37" s="380"/>
      <c r="P37" s="380"/>
      <c r="Q37" s="380"/>
      <c r="R37" s="380"/>
      <c r="S37" s="380"/>
      <c r="T37" s="380"/>
      <c r="U37" s="380"/>
      <c r="V37" s="380"/>
      <c r="W37" s="380"/>
      <c r="X37" s="380"/>
      <c r="Y37" s="380"/>
      <c r="Z37" s="380"/>
      <c r="AA37" s="380"/>
      <c r="AB37" s="380"/>
      <c r="AC37" s="380"/>
      <c r="AD37" s="380"/>
      <c r="AE37" s="380"/>
      <c r="AF37" s="381"/>
      <c r="AG37" s="379"/>
      <c r="AH37" s="379"/>
      <c r="AI37" s="379"/>
      <c r="AJ37" s="379"/>
      <c r="AK37" s="379"/>
      <c r="AL37" s="618"/>
      <c r="AM37" s="619"/>
      <c r="AN37" s="619"/>
      <c r="AO37" s="619"/>
      <c r="AP37" s="619"/>
      <c r="AQ37" s="619"/>
      <c r="AR37" s="619"/>
      <c r="AS37" s="619"/>
      <c r="AT37" s="619"/>
      <c r="AU37" s="619"/>
      <c r="AV37" s="619"/>
      <c r="AW37" s="620"/>
    </row>
    <row r="38" spans="4:49" ht="14.4" thickBot="1">
      <c r="D38" s="599"/>
      <c r="E38" s="599"/>
      <c r="F38" s="599"/>
      <c r="G38" s="599"/>
      <c r="H38" s="599"/>
      <c r="I38" s="599"/>
      <c r="J38" s="599"/>
      <c r="K38" s="599"/>
      <c r="L38" s="599"/>
      <c r="M38" s="599"/>
      <c r="N38" s="599"/>
      <c r="O38" s="599"/>
      <c r="P38" s="599"/>
      <c r="Q38" s="599"/>
      <c r="R38" s="599"/>
      <c r="S38" s="599"/>
      <c r="T38" s="599"/>
      <c r="U38" s="599"/>
      <c r="V38" s="600"/>
      <c r="W38" s="600"/>
      <c r="X38" s="600"/>
      <c r="Y38" s="600"/>
      <c r="Z38" s="600"/>
      <c r="AA38" s="600"/>
      <c r="AB38" s="600"/>
      <c r="AC38" s="600"/>
      <c r="AD38" s="600"/>
      <c r="AE38" s="599"/>
      <c r="AF38" s="599"/>
      <c r="AG38" s="599"/>
      <c r="AH38" s="599"/>
      <c r="AI38" s="599"/>
      <c r="AJ38" s="599"/>
      <c r="AK38" s="599"/>
      <c r="AL38" s="599"/>
      <c r="AM38" s="599"/>
      <c r="AN38" s="599"/>
      <c r="AO38" s="599"/>
      <c r="AP38" s="599"/>
      <c r="AQ38" s="599"/>
      <c r="AR38" s="599"/>
      <c r="AS38" s="601"/>
      <c r="AT38" s="601"/>
      <c r="AU38" s="601"/>
      <c r="AV38" s="601"/>
      <c r="AW38" s="601"/>
    </row>
    <row r="39" spans="4:49" ht="14.4" thickBot="1">
      <c r="D39" s="630" t="s">
        <v>301</v>
      </c>
      <c r="E39" s="631"/>
      <c r="F39" s="631"/>
      <c r="G39" s="631"/>
      <c r="H39" s="631"/>
      <c r="I39" s="631"/>
      <c r="J39" s="631"/>
      <c r="K39" s="631"/>
      <c r="L39" s="631"/>
      <c r="M39" s="631"/>
      <c r="N39" s="631"/>
      <c r="O39" s="631"/>
      <c r="P39" s="631"/>
      <c r="Q39" s="631"/>
      <c r="R39" s="631"/>
      <c r="S39" s="631"/>
      <c r="T39" s="631"/>
      <c r="U39" s="631"/>
      <c r="V39" s="631"/>
      <c r="W39" s="631"/>
      <c r="X39" s="631"/>
      <c r="Y39" s="631"/>
      <c r="Z39" s="631"/>
      <c r="AA39" s="631"/>
      <c r="AB39" s="631"/>
      <c r="AC39" s="631"/>
      <c r="AD39" s="631"/>
      <c r="AE39" s="631"/>
      <c r="AF39" s="632"/>
      <c r="AG39" s="379"/>
      <c r="AH39" s="379"/>
      <c r="AI39" s="379"/>
      <c r="AJ39" s="379"/>
      <c r="AK39" s="379"/>
      <c r="AL39" s="633"/>
      <c r="AM39" s="634"/>
      <c r="AN39" s="634"/>
      <c r="AO39" s="634"/>
      <c r="AP39" s="634"/>
      <c r="AQ39" s="634"/>
      <c r="AR39" s="634"/>
      <c r="AS39" s="634"/>
      <c r="AT39" s="634"/>
      <c r="AU39" s="634"/>
      <c r="AV39" s="634"/>
      <c r="AW39" s="635"/>
    </row>
    <row r="40" spans="4:49">
      <c r="D40" s="599"/>
      <c r="E40" s="599"/>
      <c r="F40" s="599"/>
      <c r="G40" s="599"/>
      <c r="H40" s="599"/>
      <c r="I40" s="599"/>
      <c r="J40" s="599"/>
      <c r="K40" s="599"/>
      <c r="L40" s="599"/>
      <c r="M40" s="599"/>
      <c r="N40" s="599"/>
      <c r="O40" s="599"/>
      <c r="P40" s="599"/>
      <c r="Q40" s="599"/>
      <c r="R40" s="599"/>
      <c r="S40" s="599"/>
      <c r="T40" s="599"/>
      <c r="U40" s="599"/>
      <c r="V40" s="600"/>
      <c r="W40" s="600"/>
      <c r="X40" s="600"/>
      <c r="Y40" s="600"/>
      <c r="Z40" s="600"/>
      <c r="AA40" s="600"/>
      <c r="AB40" s="600"/>
      <c r="AC40" s="600"/>
      <c r="AD40" s="600"/>
      <c r="AE40" s="599"/>
      <c r="AF40" s="599"/>
      <c r="AG40" s="599"/>
      <c r="AH40" s="599"/>
      <c r="AI40" s="599"/>
      <c r="AJ40" s="599"/>
      <c r="AK40" s="599"/>
      <c r="AL40" s="599"/>
      <c r="AM40" s="599"/>
      <c r="AN40" s="599"/>
      <c r="AO40" s="599"/>
      <c r="AP40" s="599"/>
      <c r="AQ40" s="599"/>
      <c r="AR40" s="599"/>
      <c r="AS40" s="601"/>
      <c r="AT40" s="601"/>
      <c r="AU40" s="601"/>
      <c r="AV40" s="601"/>
      <c r="AW40" s="601"/>
    </row>
    <row r="41" spans="4:49" hidden="1">
      <c r="D41" s="599"/>
      <c r="E41" s="599"/>
      <c r="F41" s="599"/>
      <c r="G41" s="599"/>
      <c r="H41" s="599"/>
      <c r="I41" s="599"/>
      <c r="J41" s="599"/>
      <c r="K41" s="599"/>
      <c r="L41" s="599"/>
      <c r="M41" s="599"/>
      <c r="N41" s="599"/>
      <c r="O41" s="599"/>
      <c r="P41" s="599"/>
      <c r="Q41" s="599"/>
      <c r="R41" s="599"/>
      <c r="S41" s="599"/>
      <c r="T41" s="599"/>
      <c r="U41" s="599"/>
      <c r="V41" s="600"/>
      <c r="W41" s="600"/>
      <c r="X41" s="600"/>
      <c r="Y41" s="600"/>
      <c r="Z41" s="600"/>
      <c r="AA41" s="600"/>
      <c r="AB41" s="600"/>
      <c r="AC41" s="600"/>
      <c r="AD41" s="600"/>
      <c r="AE41" s="599"/>
      <c r="AF41" s="599"/>
      <c r="AG41" s="599"/>
      <c r="AH41" s="599"/>
      <c r="AI41" s="599"/>
      <c r="AJ41" s="599"/>
      <c r="AK41" s="599"/>
      <c r="AL41" s="599"/>
      <c r="AM41" s="599"/>
      <c r="AN41" s="599"/>
      <c r="AO41" s="599"/>
      <c r="AP41" s="599"/>
      <c r="AQ41" s="599"/>
      <c r="AR41" s="599"/>
      <c r="AS41" s="601"/>
      <c r="AT41" s="601"/>
      <c r="AU41" s="601"/>
      <c r="AV41" s="601"/>
      <c r="AW41" s="601"/>
    </row>
    <row r="42" spans="4:49" hidden="1">
      <c r="D42" s="599"/>
      <c r="E42" s="599"/>
      <c r="F42" s="599"/>
      <c r="G42" s="599"/>
      <c r="H42" s="599"/>
      <c r="I42" s="599"/>
      <c r="J42" s="599"/>
      <c r="K42" s="599"/>
      <c r="L42" s="599"/>
      <c r="M42" s="599"/>
      <c r="N42" s="599"/>
      <c r="O42" s="599"/>
      <c r="P42" s="599"/>
      <c r="Q42" s="599"/>
      <c r="R42" s="599"/>
      <c r="S42" s="599"/>
      <c r="T42" s="599"/>
      <c r="U42" s="599"/>
      <c r="V42" s="600"/>
      <c r="W42" s="600"/>
      <c r="X42" s="600"/>
      <c r="Y42" s="600"/>
      <c r="Z42" s="600"/>
      <c r="AA42" s="600"/>
      <c r="AB42" s="600"/>
      <c r="AC42" s="600"/>
      <c r="AD42" s="600"/>
      <c r="AE42" s="599"/>
      <c r="AF42" s="599"/>
      <c r="AG42" s="599"/>
      <c r="AH42" s="599"/>
      <c r="AI42" s="599"/>
      <c r="AJ42" s="599"/>
      <c r="AK42" s="599"/>
      <c r="AL42" s="599"/>
      <c r="AM42" s="599"/>
      <c r="AN42" s="599"/>
      <c r="AO42" s="599"/>
      <c r="AP42" s="599"/>
      <c r="AQ42" s="599"/>
      <c r="AR42" s="599"/>
      <c r="AS42" s="601"/>
      <c r="AT42" s="601"/>
      <c r="AU42" s="601"/>
      <c r="AV42" s="601"/>
      <c r="AW42" s="601"/>
    </row>
    <row r="43" spans="4:49" hidden="1">
      <c r="D43" s="599"/>
      <c r="E43" s="599"/>
      <c r="F43" s="599"/>
      <c r="G43" s="599"/>
      <c r="H43" s="599"/>
      <c r="I43" s="599"/>
      <c r="J43" s="599"/>
      <c r="K43" s="599"/>
      <c r="L43" s="599"/>
      <c r="M43" s="599"/>
      <c r="N43" s="599"/>
      <c r="O43" s="599"/>
      <c r="P43" s="599"/>
      <c r="Q43" s="599"/>
      <c r="R43" s="599"/>
      <c r="S43" s="599"/>
      <c r="T43" s="599"/>
      <c r="U43" s="599"/>
      <c r="V43" s="600"/>
      <c r="W43" s="600"/>
      <c r="X43" s="600"/>
      <c r="Y43" s="600"/>
      <c r="Z43" s="600"/>
      <c r="AA43" s="600"/>
      <c r="AB43" s="600"/>
      <c r="AC43" s="600"/>
      <c r="AD43" s="600"/>
      <c r="AE43" s="599"/>
      <c r="AF43" s="599"/>
      <c r="AG43" s="599"/>
      <c r="AH43" s="599"/>
      <c r="AI43" s="599"/>
      <c r="AJ43" s="599"/>
      <c r="AK43" s="599"/>
      <c r="AL43" s="599"/>
      <c r="AM43" s="599"/>
      <c r="AN43" s="599"/>
      <c r="AO43" s="599"/>
      <c r="AP43" s="599"/>
      <c r="AQ43" s="599"/>
      <c r="AR43" s="599"/>
      <c r="AS43" s="601"/>
      <c r="AT43" s="601"/>
      <c r="AU43" s="601"/>
      <c r="AV43" s="601"/>
      <c r="AW43" s="601"/>
    </row>
    <row r="44" spans="4:49" hidden="1">
      <c r="D44" s="599"/>
      <c r="E44" s="599"/>
      <c r="F44" s="599"/>
      <c r="G44" s="599"/>
      <c r="H44" s="599"/>
      <c r="I44" s="599"/>
      <c r="J44" s="599"/>
      <c r="K44" s="599"/>
      <c r="L44" s="599"/>
      <c r="M44" s="599"/>
      <c r="N44" s="599"/>
      <c r="O44" s="599"/>
      <c r="P44" s="599"/>
      <c r="Q44" s="599"/>
      <c r="R44" s="599"/>
      <c r="S44" s="599"/>
      <c r="T44" s="599"/>
      <c r="U44" s="599"/>
      <c r="V44" s="600"/>
      <c r="W44" s="600"/>
      <c r="X44" s="600"/>
      <c r="Y44" s="600"/>
      <c r="Z44" s="600"/>
      <c r="AA44" s="600"/>
      <c r="AB44" s="600"/>
      <c r="AC44" s="600"/>
      <c r="AD44" s="600"/>
      <c r="AE44" s="599"/>
      <c r="AF44" s="599"/>
      <c r="AG44" s="599"/>
      <c r="AH44" s="599"/>
      <c r="AI44" s="599"/>
      <c r="AJ44" s="599"/>
      <c r="AK44" s="599"/>
      <c r="AL44" s="599"/>
      <c r="AM44" s="599"/>
      <c r="AN44" s="599"/>
      <c r="AO44" s="599"/>
      <c r="AP44" s="599"/>
      <c r="AQ44" s="599"/>
      <c r="AR44" s="599"/>
      <c r="AS44" s="601"/>
      <c r="AT44" s="601"/>
      <c r="AU44" s="601"/>
      <c r="AV44" s="601"/>
      <c r="AW44" s="601"/>
    </row>
    <row r="45" spans="4:49" hidden="1">
      <c r="D45" s="599"/>
      <c r="E45" s="599"/>
      <c r="F45" s="599"/>
      <c r="G45" s="599"/>
      <c r="H45" s="599"/>
      <c r="I45" s="599"/>
      <c r="J45" s="599"/>
      <c r="K45" s="599"/>
      <c r="L45" s="599"/>
      <c r="M45" s="599"/>
      <c r="N45" s="599"/>
      <c r="O45" s="599"/>
      <c r="P45" s="599"/>
      <c r="Q45" s="599"/>
      <c r="R45" s="599"/>
      <c r="S45" s="599"/>
      <c r="T45" s="599"/>
      <c r="U45" s="599"/>
      <c r="V45" s="600"/>
      <c r="W45" s="600"/>
      <c r="X45" s="600"/>
      <c r="Y45" s="600"/>
      <c r="Z45" s="600"/>
      <c r="AA45" s="600"/>
      <c r="AB45" s="600"/>
      <c r="AC45" s="600"/>
      <c r="AD45" s="600"/>
      <c r="AE45" s="599"/>
      <c r="AF45" s="599"/>
      <c r="AG45" s="599"/>
      <c r="AH45" s="599"/>
      <c r="AI45" s="599"/>
      <c r="AJ45" s="599"/>
      <c r="AK45" s="599"/>
      <c r="AL45" s="599"/>
      <c r="AM45" s="599"/>
      <c r="AN45" s="599"/>
      <c r="AO45" s="599"/>
      <c r="AP45" s="599"/>
      <c r="AQ45" s="599"/>
      <c r="AR45" s="599"/>
      <c r="AS45" s="601"/>
      <c r="AT45" s="601"/>
      <c r="AU45" s="601"/>
      <c r="AV45" s="601"/>
      <c r="AW45" s="601"/>
    </row>
    <row r="46" spans="4:49" hidden="1">
      <c r="D46" s="325"/>
      <c r="E46" s="325"/>
      <c r="F46" s="325"/>
      <c r="G46" s="325"/>
      <c r="H46" s="325"/>
      <c r="I46" s="325"/>
      <c r="J46" s="325"/>
      <c r="K46" s="325"/>
      <c r="L46" s="325"/>
      <c r="M46" s="325"/>
      <c r="N46" s="325"/>
      <c r="O46" s="325"/>
      <c r="P46" s="325"/>
      <c r="Q46" s="325"/>
      <c r="R46" s="325"/>
      <c r="S46" s="325"/>
      <c r="T46" s="325"/>
      <c r="U46" s="325"/>
      <c r="V46" s="326"/>
      <c r="W46" s="326"/>
      <c r="X46" s="326"/>
      <c r="Y46" s="326"/>
      <c r="Z46" s="326"/>
      <c r="AA46" s="326"/>
      <c r="AB46" s="326"/>
      <c r="AC46" s="326"/>
      <c r="AD46" s="326"/>
      <c r="AE46" s="325"/>
      <c r="AF46" s="325"/>
      <c r="AG46" s="325"/>
      <c r="AH46" s="325"/>
      <c r="AI46" s="325"/>
      <c r="AJ46" s="325"/>
      <c r="AK46" s="325"/>
      <c r="AL46" s="325"/>
      <c r="AM46" s="325"/>
      <c r="AN46" s="325"/>
      <c r="AO46" s="325"/>
      <c r="AP46" s="325"/>
      <c r="AQ46" s="325"/>
      <c r="AR46" s="325"/>
      <c r="AS46" s="327"/>
      <c r="AT46" s="327"/>
      <c r="AU46" s="327"/>
      <c r="AV46" s="327"/>
      <c r="AW46" s="327"/>
    </row>
    <row r="47" spans="4:49" hidden="1">
      <c r="D47" s="300"/>
      <c r="E47" s="325"/>
      <c r="F47" s="325"/>
      <c r="G47" s="325"/>
      <c r="H47" s="325"/>
      <c r="I47" s="325"/>
      <c r="J47" s="325"/>
      <c r="K47" s="325"/>
      <c r="L47" s="325"/>
      <c r="M47" s="325"/>
      <c r="N47" s="325"/>
      <c r="O47" s="325"/>
      <c r="P47" s="325"/>
      <c r="Q47" s="325"/>
      <c r="R47" s="325"/>
      <c r="S47" s="325"/>
      <c r="T47" s="325"/>
      <c r="U47" s="325"/>
      <c r="V47" s="326"/>
      <c r="W47" s="326"/>
      <c r="X47" s="326"/>
      <c r="Y47" s="326"/>
      <c r="Z47" s="326"/>
      <c r="AA47" s="326"/>
      <c r="AB47" s="326"/>
      <c r="AC47" s="326"/>
      <c r="AD47" s="326"/>
      <c r="AE47" s="325"/>
      <c r="AF47" s="325"/>
      <c r="AG47" s="325"/>
      <c r="AH47" s="325"/>
      <c r="AI47" s="325"/>
      <c r="AJ47" s="325"/>
      <c r="AK47" s="325"/>
      <c r="AL47" s="325"/>
      <c r="AM47" s="325"/>
      <c r="AN47" s="325"/>
      <c r="AO47" s="325"/>
      <c r="AP47" s="325"/>
      <c r="AQ47" s="325"/>
      <c r="AR47" s="325"/>
      <c r="AS47" s="327"/>
      <c r="AT47" s="327"/>
      <c r="AU47" s="327"/>
      <c r="AV47" s="327"/>
      <c r="AW47" s="327"/>
    </row>
    <row r="48" spans="4:49" ht="28.5" hidden="1" customHeight="1">
      <c r="D48" s="640"/>
      <c r="E48" s="640"/>
      <c r="F48" s="640"/>
      <c r="G48" s="641"/>
      <c r="H48" s="641"/>
      <c r="I48" s="641"/>
      <c r="J48" s="641"/>
      <c r="K48" s="641"/>
      <c r="L48" s="641"/>
      <c r="M48" s="641"/>
      <c r="N48" s="641"/>
      <c r="O48" s="641"/>
      <c r="P48" s="641"/>
      <c r="Q48" s="641"/>
      <c r="R48" s="641"/>
      <c r="S48" s="641"/>
      <c r="T48" s="641"/>
      <c r="U48" s="641"/>
      <c r="V48" s="641"/>
      <c r="W48" s="641"/>
      <c r="X48" s="641"/>
      <c r="Y48" s="641"/>
      <c r="Z48" s="641"/>
      <c r="AA48" s="641"/>
      <c r="AB48" s="641"/>
      <c r="AC48" s="641"/>
      <c r="AD48" s="641"/>
      <c r="AE48" s="641"/>
      <c r="AF48" s="641"/>
      <c r="AG48" s="641"/>
      <c r="AH48" s="641"/>
      <c r="AI48" s="641"/>
      <c r="AJ48" s="641"/>
      <c r="AK48" s="641"/>
      <c r="AL48" s="641"/>
      <c r="AM48" s="641"/>
      <c r="AN48" s="641"/>
      <c r="AO48" s="641"/>
      <c r="AP48" s="641"/>
      <c r="AQ48" s="641"/>
      <c r="AR48" s="641"/>
      <c r="AS48" s="641"/>
      <c r="AT48" s="641"/>
      <c r="AU48" s="641"/>
      <c r="AV48" s="641"/>
      <c r="AW48" s="641"/>
    </row>
    <row r="49" spans="4:49" hidden="1">
      <c r="D49" s="599"/>
      <c r="E49" s="599"/>
      <c r="F49" s="599"/>
      <c r="G49" s="599"/>
      <c r="H49" s="599"/>
      <c r="I49" s="599"/>
      <c r="J49" s="599"/>
      <c r="K49" s="599"/>
      <c r="L49" s="599"/>
      <c r="M49" s="599"/>
      <c r="N49" s="599"/>
      <c r="O49" s="599"/>
      <c r="P49" s="599"/>
      <c r="Q49" s="599"/>
      <c r="R49" s="599"/>
      <c r="S49" s="599"/>
      <c r="T49" s="599"/>
      <c r="U49" s="599"/>
      <c r="V49" s="600"/>
      <c r="W49" s="600"/>
      <c r="X49" s="600"/>
      <c r="Y49" s="600"/>
      <c r="Z49" s="600"/>
      <c r="AA49" s="600"/>
      <c r="AB49" s="600"/>
      <c r="AC49" s="600"/>
      <c r="AD49" s="600"/>
      <c r="AE49" s="599"/>
      <c r="AF49" s="599"/>
      <c r="AG49" s="599"/>
      <c r="AH49" s="599"/>
      <c r="AI49" s="599"/>
      <c r="AJ49" s="599"/>
      <c r="AK49" s="599"/>
      <c r="AL49" s="599"/>
      <c r="AM49" s="599"/>
      <c r="AN49" s="599"/>
      <c r="AO49" s="599"/>
      <c r="AP49" s="599"/>
      <c r="AQ49" s="599"/>
      <c r="AR49" s="599"/>
      <c r="AS49" s="601"/>
      <c r="AT49" s="601"/>
      <c r="AU49" s="601"/>
      <c r="AV49" s="601"/>
      <c r="AW49" s="601"/>
    </row>
    <row r="50" spans="4:49" hidden="1">
      <c r="D50" s="599"/>
      <c r="E50" s="599"/>
      <c r="F50" s="599"/>
      <c r="G50" s="599"/>
      <c r="H50" s="599"/>
      <c r="I50" s="599"/>
      <c r="J50" s="599"/>
      <c r="K50" s="599"/>
      <c r="L50" s="599"/>
      <c r="M50" s="599"/>
      <c r="N50" s="599"/>
      <c r="O50" s="599"/>
      <c r="P50" s="599"/>
      <c r="Q50" s="599"/>
      <c r="R50" s="599"/>
      <c r="S50" s="599"/>
      <c r="T50" s="599"/>
      <c r="U50" s="599"/>
      <c r="V50" s="600"/>
      <c r="W50" s="600"/>
      <c r="X50" s="600"/>
      <c r="Y50" s="600"/>
      <c r="Z50" s="600"/>
      <c r="AA50" s="600"/>
      <c r="AB50" s="600"/>
      <c r="AC50" s="600"/>
      <c r="AD50" s="600"/>
      <c r="AE50" s="599"/>
      <c r="AF50" s="599"/>
      <c r="AG50" s="599"/>
      <c r="AH50" s="599"/>
      <c r="AI50" s="599"/>
      <c r="AJ50" s="599"/>
      <c r="AK50" s="599"/>
      <c r="AL50" s="599"/>
      <c r="AM50" s="599"/>
      <c r="AN50" s="599"/>
      <c r="AO50" s="599"/>
      <c r="AP50" s="599"/>
      <c r="AQ50" s="599"/>
      <c r="AR50" s="599"/>
      <c r="AS50" s="601"/>
      <c r="AT50" s="601"/>
      <c r="AU50" s="601"/>
      <c r="AV50" s="601"/>
      <c r="AW50" s="601"/>
    </row>
    <row r="51" spans="4:49" hidden="1">
      <c r="D51" s="599"/>
      <c r="E51" s="599"/>
      <c r="F51" s="599"/>
      <c r="G51" s="599"/>
      <c r="H51" s="599"/>
      <c r="I51" s="599"/>
      <c r="J51" s="599"/>
      <c r="K51" s="599"/>
      <c r="L51" s="599"/>
      <c r="M51" s="599"/>
      <c r="N51" s="599"/>
      <c r="O51" s="599"/>
      <c r="P51" s="599"/>
      <c r="Q51" s="599"/>
      <c r="R51" s="599"/>
      <c r="S51" s="599"/>
      <c r="T51" s="599"/>
      <c r="U51" s="599"/>
      <c r="V51" s="600"/>
      <c r="W51" s="600"/>
      <c r="X51" s="600"/>
      <c r="Y51" s="600"/>
      <c r="Z51" s="600"/>
      <c r="AA51" s="600"/>
      <c r="AB51" s="600"/>
      <c r="AC51" s="600"/>
      <c r="AD51" s="600"/>
      <c r="AE51" s="599"/>
      <c r="AF51" s="599"/>
      <c r="AG51" s="599"/>
      <c r="AH51" s="599"/>
      <c r="AI51" s="599"/>
      <c r="AJ51" s="599"/>
      <c r="AK51" s="599"/>
      <c r="AL51" s="599"/>
      <c r="AM51" s="599"/>
      <c r="AN51" s="599"/>
      <c r="AO51" s="599"/>
      <c r="AP51" s="599"/>
      <c r="AQ51" s="599"/>
      <c r="AR51" s="599"/>
      <c r="AS51" s="601"/>
      <c r="AT51" s="601"/>
      <c r="AU51" s="601"/>
      <c r="AV51" s="601"/>
      <c r="AW51" s="601"/>
    </row>
    <row r="52" spans="4:49" hidden="1">
      <c r="D52" s="599"/>
      <c r="E52" s="599"/>
      <c r="F52" s="599"/>
      <c r="G52" s="599"/>
      <c r="H52" s="599"/>
      <c r="I52" s="599"/>
      <c r="J52" s="599"/>
      <c r="K52" s="599"/>
      <c r="L52" s="599"/>
      <c r="M52" s="599"/>
      <c r="N52" s="599"/>
      <c r="O52" s="599"/>
      <c r="P52" s="599"/>
      <c r="Q52" s="599"/>
      <c r="R52" s="599"/>
      <c r="S52" s="599"/>
      <c r="T52" s="599"/>
      <c r="U52" s="599"/>
      <c r="V52" s="600"/>
      <c r="W52" s="600"/>
      <c r="X52" s="600"/>
      <c r="Y52" s="600"/>
      <c r="Z52" s="600"/>
      <c r="AA52" s="600"/>
      <c r="AB52" s="600"/>
      <c r="AC52" s="600"/>
      <c r="AD52" s="600"/>
      <c r="AE52" s="599"/>
      <c r="AF52" s="599"/>
      <c r="AG52" s="599"/>
      <c r="AH52" s="599"/>
      <c r="AI52" s="599"/>
      <c r="AJ52" s="599"/>
      <c r="AK52" s="599"/>
      <c r="AL52" s="599"/>
      <c r="AM52" s="599"/>
      <c r="AN52" s="599"/>
      <c r="AO52" s="599"/>
      <c r="AP52" s="599"/>
      <c r="AQ52" s="599"/>
      <c r="AR52" s="599"/>
      <c r="AS52" s="601"/>
      <c r="AT52" s="601"/>
      <c r="AU52" s="601"/>
      <c r="AV52" s="601"/>
      <c r="AW52" s="601"/>
    </row>
    <row r="53" spans="4:49" hidden="1">
      <c r="D53" s="599"/>
      <c r="E53" s="599"/>
      <c r="F53" s="599"/>
      <c r="G53" s="599"/>
      <c r="H53" s="599"/>
      <c r="I53" s="599"/>
      <c r="J53" s="599"/>
      <c r="K53" s="599"/>
      <c r="L53" s="599"/>
      <c r="M53" s="599"/>
      <c r="N53" s="599"/>
      <c r="O53" s="599"/>
      <c r="P53" s="599"/>
      <c r="Q53" s="599"/>
      <c r="R53" s="599"/>
      <c r="S53" s="599"/>
      <c r="T53" s="599"/>
      <c r="U53" s="599"/>
      <c r="V53" s="600"/>
      <c r="W53" s="600"/>
      <c r="X53" s="600"/>
      <c r="Y53" s="600"/>
      <c r="Z53" s="600"/>
      <c r="AA53" s="600"/>
      <c r="AB53" s="600"/>
      <c r="AC53" s="600"/>
      <c r="AD53" s="600"/>
      <c r="AE53" s="599"/>
      <c r="AF53" s="599"/>
      <c r="AG53" s="599"/>
      <c r="AH53" s="599"/>
      <c r="AI53" s="599"/>
      <c r="AJ53" s="599"/>
      <c r="AK53" s="599"/>
      <c r="AL53" s="599"/>
      <c r="AM53" s="599"/>
      <c r="AN53" s="599"/>
      <c r="AO53" s="599"/>
      <c r="AP53" s="599"/>
      <c r="AQ53" s="599"/>
      <c r="AR53" s="599"/>
      <c r="AS53" s="601"/>
      <c r="AT53" s="601"/>
      <c r="AU53" s="601"/>
      <c r="AV53" s="601"/>
      <c r="AW53" s="601"/>
    </row>
    <row r="54" spans="4:49" hidden="1">
      <c r="D54" s="599"/>
      <c r="E54" s="599"/>
      <c r="F54" s="599"/>
      <c r="G54" s="599"/>
      <c r="H54" s="599"/>
      <c r="I54" s="599"/>
      <c r="J54" s="599"/>
      <c r="K54" s="599"/>
      <c r="L54" s="599"/>
      <c r="M54" s="599"/>
      <c r="N54" s="599"/>
      <c r="O54" s="599"/>
      <c r="P54" s="599"/>
      <c r="Q54" s="599"/>
      <c r="R54" s="599"/>
      <c r="S54" s="599"/>
      <c r="T54" s="599"/>
      <c r="U54" s="599"/>
      <c r="V54" s="600"/>
      <c r="W54" s="600"/>
      <c r="X54" s="600"/>
      <c r="Y54" s="600"/>
      <c r="Z54" s="600"/>
      <c r="AA54" s="600"/>
      <c r="AB54" s="600"/>
      <c r="AC54" s="600"/>
      <c r="AD54" s="600"/>
      <c r="AE54" s="599"/>
      <c r="AF54" s="599"/>
      <c r="AG54" s="599"/>
      <c r="AH54" s="599"/>
      <c r="AI54" s="599"/>
      <c r="AJ54" s="599"/>
      <c r="AK54" s="599"/>
      <c r="AL54" s="599"/>
      <c r="AM54" s="599"/>
      <c r="AN54" s="599"/>
      <c r="AO54" s="599"/>
      <c r="AP54" s="599"/>
      <c r="AQ54" s="599"/>
      <c r="AR54" s="599"/>
      <c r="AS54" s="601"/>
      <c r="AT54" s="601"/>
      <c r="AU54" s="601"/>
      <c r="AV54" s="601"/>
      <c r="AW54" s="601"/>
    </row>
    <row r="55" spans="4:49" hidden="1">
      <c r="D55" s="599"/>
      <c r="E55" s="599"/>
      <c r="F55" s="599"/>
      <c r="G55" s="599"/>
      <c r="H55" s="599"/>
      <c r="I55" s="599"/>
      <c r="J55" s="599"/>
      <c r="K55" s="599"/>
      <c r="L55" s="599"/>
      <c r="M55" s="599"/>
      <c r="N55" s="599"/>
      <c r="O55" s="599"/>
      <c r="P55" s="599"/>
      <c r="Q55" s="599"/>
      <c r="R55" s="599"/>
      <c r="S55" s="599"/>
      <c r="T55" s="599"/>
      <c r="U55" s="599"/>
      <c r="V55" s="600"/>
      <c r="W55" s="600"/>
      <c r="X55" s="600"/>
      <c r="Y55" s="600"/>
      <c r="Z55" s="600"/>
      <c r="AA55" s="600"/>
      <c r="AB55" s="600"/>
      <c r="AC55" s="600"/>
      <c r="AD55" s="600"/>
      <c r="AE55" s="599"/>
      <c r="AF55" s="599"/>
      <c r="AG55" s="599"/>
      <c r="AH55" s="599"/>
      <c r="AI55" s="599"/>
      <c r="AJ55" s="599"/>
      <c r="AK55" s="599"/>
      <c r="AL55" s="599"/>
      <c r="AM55" s="599"/>
      <c r="AN55" s="599"/>
      <c r="AO55" s="599"/>
      <c r="AP55" s="599"/>
      <c r="AQ55" s="599"/>
      <c r="AR55" s="599"/>
      <c r="AS55" s="601"/>
      <c r="AT55" s="601"/>
      <c r="AU55" s="601"/>
      <c r="AV55" s="601"/>
      <c r="AW55" s="601"/>
    </row>
    <row r="56" spans="4:49" hidden="1">
      <c r="D56" s="599"/>
      <c r="E56" s="599"/>
      <c r="F56" s="599"/>
      <c r="G56" s="599"/>
      <c r="H56" s="599"/>
      <c r="I56" s="599"/>
      <c r="J56" s="599"/>
      <c r="K56" s="599"/>
      <c r="L56" s="599"/>
      <c r="M56" s="599"/>
      <c r="N56" s="599"/>
      <c r="O56" s="599"/>
      <c r="P56" s="599"/>
      <c r="Q56" s="599"/>
      <c r="R56" s="599"/>
      <c r="S56" s="599"/>
      <c r="T56" s="599"/>
      <c r="U56" s="599"/>
      <c r="V56" s="600"/>
      <c r="W56" s="600"/>
      <c r="X56" s="600"/>
      <c r="Y56" s="600"/>
      <c r="Z56" s="600"/>
      <c r="AA56" s="600"/>
      <c r="AB56" s="600"/>
      <c r="AC56" s="600"/>
      <c r="AD56" s="600"/>
      <c r="AE56" s="599"/>
      <c r="AF56" s="599"/>
      <c r="AG56" s="599"/>
      <c r="AH56" s="599"/>
      <c r="AI56" s="599"/>
      <c r="AJ56" s="599"/>
      <c r="AK56" s="599"/>
      <c r="AL56" s="599"/>
      <c r="AM56" s="599"/>
      <c r="AN56" s="599"/>
      <c r="AO56" s="599"/>
      <c r="AP56" s="599"/>
      <c r="AQ56" s="599"/>
      <c r="AR56" s="599"/>
      <c r="AS56" s="601"/>
      <c r="AT56" s="601"/>
      <c r="AU56" s="601"/>
      <c r="AV56" s="601"/>
      <c r="AW56" s="601"/>
    </row>
    <row r="57" spans="4:49" hidden="1">
      <c r="D57" s="599"/>
      <c r="E57" s="599"/>
      <c r="F57" s="599"/>
      <c r="G57" s="599"/>
      <c r="H57" s="599"/>
      <c r="I57" s="599"/>
      <c r="J57" s="599"/>
      <c r="K57" s="599"/>
      <c r="L57" s="599"/>
      <c r="M57" s="599"/>
      <c r="N57" s="599"/>
      <c r="O57" s="599"/>
      <c r="P57" s="599"/>
      <c r="Q57" s="599"/>
      <c r="R57" s="599"/>
      <c r="S57" s="599"/>
      <c r="T57" s="599"/>
      <c r="U57" s="599"/>
      <c r="V57" s="600"/>
      <c r="W57" s="600"/>
      <c r="X57" s="600"/>
      <c r="Y57" s="600"/>
      <c r="Z57" s="600"/>
      <c r="AA57" s="600"/>
      <c r="AB57" s="600"/>
      <c r="AC57" s="600"/>
      <c r="AD57" s="600"/>
      <c r="AE57" s="599"/>
      <c r="AF57" s="599"/>
      <c r="AG57" s="599"/>
      <c r="AH57" s="599"/>
      <c r="AI57" s="599"/>
      <c r="AJ57" s="599"/>
      <c r="AK57" s="599"/>
      <c r="AL57" s="599"/>
      <c r="AM57" s="599"/>
      <c r="AN57" s="599"/>
      <c r="AO57" s="599"/>
      <c r="AP57" s="599"/>
      <c r="AQ57" s="599"/>
      <c r="AR57" s="599"/>
      <c r="AS57" s="601"/>
      <c r="AT57" s="601"/>
      <c r="AU57" s="601"/>
      <c r="AV57" s="601"/>
      <c r="AW57" s="601"/>
    </row>
    <row r="58" spans="4:49" hidden="1">
      <c r="D58" s="599"/>
      <c r="E58" s="599"/>
      <c r="F58" s="599"/>
      <c r="G58" s="599"/>
      <c r="H58" s="599"/>
      <c r="I58" s="599"/>
      <c r="J58" s="599"/>
      <c r="K58" s="599"/>
      <c r="L58" s="599"/>
      <c r="M58" s="599"/>
      <c r="N58" s="599"/>
      <c r="O58" s="599"/>
      <c r="P58" s="599"/>
      <c r="Q58" s="599"/>
      <c r="R58" s="599"/>
      <c r="S58" s="599"/>
      <c r="T58" s="599"/>
      <c r="U58" s="599"/>
      <c r="V58" s="600"/>
      <c r="W58" s="600"/>
      <c r="X58" s="600"/>
      <c r="Y58" s="600"/>
      <c r="Z58" s="600"/>
      <c r="AA58" s="600"/>
      <c r="AB58" s="600"/>
      <c r="AC58" s="600"/>
      <c r="AD58" s="600"/>
      <c r="AE58" s="599"/>
      <c r="AF58" s="599"/>
      <c r="AG58" s="599"/>
      <c r="AH58" s="599"/>
      <c r="AI58" s="599"/>
      <c r="AJ58" s="599"/>
      <c r="AK58" s="599"/>
      <c r="AL58" s="599"/>
      <c r="AM58" s="599"/>
      <c r="AN58" s="599"/>
      <c r="AO58" s="599"/>
      <c r="AP58" s="599"/>
      <c r="AQ58" s="599"/>
      <c r="AR58" s="599"/>
      <c r="AS58" s="601"/>
      <c r="AT58" s="601"/>
      <c r="AU58" s="601"/>
      <c r="AV58" s="601"/>
      <c r="AW58" s="601"/>
    </row>
    <row r="59" spans="4:49" hidden="1">
      <c r="D59" s="638"/>
      <c r="E59" s="638"/>
      <c r="F59" s="638"/>
      <c r="G59" s="638"/>
      <c r="H59" s="638"/>
      <c r="I59" s="638"/>
      <c r="J59" s="638"/>
      <c r="K59" s="638"/>
      <c r="L59" s="638"/>
      <c r="M59" s="638"/>
      <c r="N59" s="638"/>
      <c r="O59" s="638"/>
      <c r="P59" s="638"/>
      <c r="Q59" s="638"/>
      <c r="R59" s="638"/>
      <c r="S59" s="638"/>
      <c r="T59" s="638"/>
      <c r="U59" s="638"/>
      <c r="V59" s="638"/>
      <c r="W59" s="638"/>
      <c r="X59" s="638"/>
      <c r="Y59" s="638"/>
      <c r="Z59" s="638"/>
      <c r="AA59" s="638"/>
      <c r="AB59" s="638"/>
      <c r="AC59" s="638"/>
      <c r="AD59" s="638"/>
      <c r="AE59" s="638"/>
      <c r="AF59" s="638"/>
      <c r="AG59" s="638"/>
      <c r="AH59" s="638"/>
      <c r="AI59" s="638"/>
      <c r="AJ59" s="638"/>
      <c r="AK59" s="638"/>
      <c r="AL59" s="638"/>
      <c r="AM59" s="638"/>
      <c r="AN59" s="638"/>
      <c r="AO59" s="638"/>
      <c r="AP59" s="638"/>
      <c r="AQ59" s="638"/>
      <c r="AR59" s="638"/>
      <c r="AS59" s="638"/>
      <c r="AT59" s="638"/>
      <c r="AU59" s="638"/>
      <c r="AV59" s="638"/>
      <c r="AW59" s="638"/>
    </row>
    <row r="60" spans="4:49" ht="27.75" customHeight="1">
      <c r="D60" s="639"/>
      <c r="E60" s="639"/>
      <c r="F60" s="639"/>
      <c r="G60" s="639"/>
      <c r="H60" s="639"/>
      <c r="I60" s="639"/>
      <c r="J60" s="639"/>
      <c r="K60" s="639"/>
      <c r="L60" s="639"/>
      <c r="M60" s="639"/>
      <c r="N60" s="639"/>
      <c r="O60" s="639"/>
      <c r="P60" s="639"/>
      <c r="Q60" s="639"/>
      <c r="R60" s="639"/>
      <c r="S60" s="639"/>
      <c r="T60" s="639"/>
      <c r="U60" s="639"/>
      <c r="V60" s="639"/>
      <c r="W60" s="639"/>
      <c r="X60" s="639"/>
      <c r="Y60" s="639"/>
      <c r="Z60" s="639"/>
      <c r="AA60" s="639"/>
      <c r="AB60" s="639"/>
      <c r="AC60" s="639"/>
      <c r="AD60" s="639"/>
      <c r="AE60" s="639"/>
      <c r="AF60" s="639"/>
      <c r="AG60" s="639"/>
      <c r="AH60" s="639"/>
      <c r="AI60" s="639"/>
      <c r="AJ60" s="639"/>
      <c r="AK60" s="639"/>
      <c r="AL60" s="639"/>
      <c r="AM60" s="639"/>
      <c r="AN60" s="639"/>
      <c r="AO60" s="639"/>
      <c r="AP60" s="639"/>
      <c r="AQ60" s="639"/>
      <c r="AR60" s="639"/>
      <c r="AS60" s="639"/>
      <c r="AT60" s="639"/>
      <c r="AU60" s="639"/>
      <c r="AV60" s="639"/>
      <c r="AW60" s="639"/>
    </row>
    <row r="61" spans="4:49" ht="96" hidden="1" customHeight="1">
      <c r="D61" s="45"/>
      <c r="E61" s="609"/>
      <c r="F61" s="609"/>
      <c r="G61" s="609"/>
      <c r="H61" s="609"/>
      <c r="I61" s="609"/>
      <c r="J61" s="609"/>
      <c r="K61" s="609"/>
      <c r="L61" s="609"/>
      <c r="M61" s="609"/>
      <c r="N61" s="609"/>
      <c r="O61" s="609"/>
      <c r="P61" s="609"/>
      <c r="Q61" s="609"/>
      <c r="R61" s="609"/>
      <c r="S61" s="609"/>
      <c r="T61" s="609"/>
      <c r="U61" s="609"/>
      <c r="V61" s="609"/>
      <c r="W61" s="609"/>
      <c r="X61" s="609"/>
      <c r="Y61" s="609"/>
      <c r="Z61" s="609"/>
      <c r="AA61" s="609"/>
      <c r="AB61" s="609"/>
      <c r="AC61" s="609"/>
      <c r="AD61" s="609"/>
      <c r="AE61" s="609"/>
      <c r="AF61" s="609"/>
      <c r="AG61" s="609"/>
      <c r="AH61" s="609"/>
      <c r="AI61" s="609"/>
      <c r="AJ61" s="609"/>
      <c r="AK61" s="609"/>
      <c r="AL61" s="609"/>
      <c r="AM61" s="609"/>
      <c r="AN61" s="609"/>
      <c r="AO61" s="609"/>
      <c r="AP61" s="609"/>
      <c r="AQ61" s="609"/>
      <c r="AR61" s="609"/>
      <c r="AS61" s="609"/>
      <c r="AT61" s="609"/>
      <c r="AU61" s="609"/>
      <c r="AV61" s="609"/>
      <c r="AW61" s="609"/>
    </row>
    <row r="63" spans="4:49">
      <c r="D63" s="48" t="s">
        <v>184</v>
      </c>
      <c r="AB63" s="606"/>
      <c r="AC63" s="606"/>
      <c r="AD63" s="606"/>
      <c r="AE63" s="606"/>
      <c r="AF63" s="606"/>
      <c r="AG63" s="606"/>
      <c r="AH63" s="606"/>
      <c r="AI63" s="606"/>
      <c r="AJ63" s="606"/>
      <c r="AK63" s="606"/>
      <c r="AL63" s="606"/>
      <c r="AM63" s="606"/>
      <c r="AN63" s="606"/>
      <c r="AO63" s="606"/>
      <c r="AP63" s="606"/>
      <c r="AQ63" s="606"/>
      <c r="AR63" s="606"/>
      <c r="AS63" s="606"/>
      <c r="AT63" s="606"/>
      <c r="AU63" s="606"/>
      <c r="AV63" s="606"/>
      <c r="AW63" s="606"/>
    </row>
    <row r="64" spans="4:49" ht="27" customHeight="1">
      <c r="AB64" s="607" t="s">
        <v>63</v>
      </c>
      <c r="AC64" s="608"/>
      <c r="AD64" s="608"/>
      <c r="AE64" s="608"/>
      <c r="AF64" s="608"/>
      <c r="AG64" s="608"/>
      <c r="AH64" s="608"/>
      <c r="AI64" s="608"/>
      <c r="AJ64" s="608"/>
      <c r="AK64" s="608"/>
      <c r="AL64" s="608"/>
      <c r="AM64" s="608"/>
      <c r="AN64" s="608"/>
      <c r="AO64" s="608"/>
      <c r="AP64" s="608"/>
      <c r="AQ64" s="608"/>
      <c r="AR64" s="608"/>
      <c r="AS64" s="608"/>
      <c r="AT64" s="608"/>
      <c r="AU64" s="608"/>
      <c r="AV64" s="608"/>
      <c r="AW64" s="608"/>
    </row>
    <row r="66" spans="4:49">
      <c r="D66" s="605" t="s">
        <v>264</v>
      </c>
      <c r="E66" s="605"/>
      <c r="F66" s="605"/>
      <c r="G66" s="605"/>
      <c r="H66" s="605"/>
      <c r="I66" s="605"/>
      <c r="J66" s="605"/>
      <c r="K66" s="605"/>
      <c r="L66" s="605"/>
      <c r="M66" s="605"/>
      <c r="N66" s="605"/>
      <c r="O66" s="605"/>
      <c r="P66" s="605"/>
      <c r="Q66" s="605"/>
      <c r="R66" s="605"/>
      <c r="S66" s="605"/>
      <c r="T66" s="605"/>
      <c r="U66" s="605"/>
      <c r="V66" s="605"/>
      <c r="W66" s="605"/>
      <c r="X66" s="605"/>
      <c r="Y66" s="605"/>
      <c r="Z66" s="605"/>
      <c r="AA66" s="605"/>
      <c r="AB66" s="605"/>
      <c r="AC66" s="605"/>
      <c r="AD66" s="605"/>
      <c r="AE66" s="605"/>
      <c r="AF66" s="605"/>
      <c r="AG66" s="605"/>
      <c r="AH66" s="605"/>
      <c r="AI66" s="605"/>
      <c r="AJ66" s="605"/>
      <c r="AK66" s="605"/>
      <c r="AL66" s="605"/>
      <c r="AM66" s="605"/>
      <c r="AN66" s="605"/>
      <c r="AO66" s="605"/>
      <c r="AP66" s="605"/>
      <c r="AQ66" s="605"/>
      <c r="AR66" s="605"/>
      <c r="AS66" s="605"/>
      <c r="AT66" s="605"/>
      <c r="AU66" s="605"/>
      <c r="AV66" s="605"/>
      <c r="AW66" s="605"/>
    </row>
    <row r="67" spans="4:49">
      <c r="D67" s="605"/>
      <c r="E67" s="605"/>
      <c r="F67" s="605"/>
      <c r="G67" s="605"/>
      <c r="H67" s="605"/>
      <c r="I67" s="605"/>
      <c r="J67" s="605"/>
      <c r="K67" s="605"/>
      <c r="L67" s="605"/>
      <c r="M67" s="605"/>
      <c r="N67" s="605"/>
      <c r="O67" s="605"/>
      <c r="P67" s="605"/>
      <c r="Q67" s="605"/>
      <c r="R67" s="605"/>
      <c r="S67" s="605"/>
      <c r="T67" s="605"/>
      <c r="U67" s="605"/>
      <c r="V67" s="605"/>
      <c r="W67" s="605"/>
      <c r="X67" s="605"/>
      <c r="Y67" s="605"/>
      <c r="Z67" s="605"/>
      <c r="AA67" s="605"/>
      <c r="AB67" s="605"/>
      <c r="AC67" s="605"/>
      <c r="AD67" s="605"/>
      <c r="AE67" s="605"/>
      <c r="AF67" s="605"/>
      <c r="AG67" s="605"/>
      <c r="AH67" s="605"/>
      <c r="AI67" s="605"/>
      <c r="AJ67" s="605"/>
      <c r="AK67" s="605"/>
      <c r="AL67" s="605"/>
      <c r="AM67" s="605"/>
      <c r="AN67" s="605"/>
      <c r="AO67" s="605"/>
      <c r="AP67" s="605"/>
      <c r="AQ67" s="605"/>
      <c r="AR67" s="605"/>
      <c r="AS67" s="605"/>
      <c r="AT67" s="605"/>
      <c r="AU67" s="605"/>
      <c r="AV67" s="605"/>
      <c r="AW67" s="605"/>
    </row>
    <row r="68" spans="4:49">
      <c r="D68" s="605"/>
      <c r="E68" s="605"/>
      <c r="F68" s="605"/>
      <c r="G68" s="605"/>
      <c r="H68" s="605"/>
      <c r="I68" s="605"/>
      <c r="J68" s="605"/>
      <c r="K68" s="605"/>
      <c r="L68" s="605"/>
      <c r="M68" s="605"/>
      <c r="N68" s="605"/>
      <c r="O68" s="605"/>
      <c r="P68" s="605"/>
      <c r="Q68" s="605"/>
      <c r="R68" s="605"/>
      <c r="S68" s="605"/>
      <c r="T68" s="605"/>
      <c r="U68" s="605"/>
      <c r="V68" s="605"/>
      <c r="W68" s="605"/>
      <c r="X68" s="605"/>
      <c r="Y68" s="605"/>
      <c r="Z68" s="605"/>
      <c r="AA68" s="605"/>
      <c r="AB68" s="605"/>
      <c r="AC68" s="605"/>
      <c r="AD68" s="605"/>
      <c r="AE68" s="605"/>
      <c r="AF68" s="605"/>
      <c r="AG68" s="605"/>
      <c r="AH68" s="605"/>
      <c r="AI68" s="605"/>
      <c r="AJ68" s="605"/>
      <c r="AK68" s="605"/>
      <c r="AL68" s="605"/>
      <c r="AM68" s="605"/>
      <c r="AN68" s="605"/>
      <c r="AO68" s="605"/>
      <c r="AP68" s="605"/>
      <c r="AQ68" s="605"/>
      <c r="AR68" s="605"/>
      <c r="AS68" s="605"/>
      <c r="AT68" s="605"/>
      <c r="AU68" s="605"/>
      <c r="AV68" s="605"/>
      <c r="AW68" s="605"/>
    </row>
  </sheetData>
  <sheetProtection algorithmName="SHA-512" hashValue="7qt5QFDupBhfZ7j0+3+BQhU3sYPWkeGamnDHObJgP1W/9T1DhIgCVE7hqeOvwm6rb7PGkPx1GjzqqznDfniN4w==" saltValue="UFell83luvdQqtTFvowSxQ==" spinCount="100000" sheet="1" objects="1" scenarios="1"/>
  <mergeCells count="140">
    <mergeCell ref="V41:AD41"/>
    <mergeCell ref="D59:AW60"/>
    <mergeCell ref="V53:AD53"/>
    <mergeCell ref="AE53:AR53"/>
    <mergeCell ref="AS53:AW53"/>
    <mergeCell ref="D54:F54"/>
    <mergeCell ref="G54:U54"/>
    <mergeCell ref="V54:AD54"/>
    <mergeCell ref="AE54:AR54"/>
    <mergeCell ref="AS54:AW54"/>
    <mergeCell ref="AS57:AW57"/>
    <mergeCell ref="D55:F55"/>
    <mergeCell ref="G55:U55"/>
    <mergeCell ref="V55:AD55"/>
    <mergeCell ref="AE55:AR55"/>
    <mergeCell ref="AS55:AW55"/>
    <mergeCell ref="D53:F53"/>
    <mergeCell ref="G53:U53"/>
    <mergeCell ref="D48:F48"/>
    <mergeCell ref="G48:U48"/>
    <mergeCell ref="V48:AD48"/>
    <mergeCell ref="AE48:AR48"/>
    <mergeCell ref="AS48:AW48"/>
    <mergeCell ref="D50:F50"/>
    <mergeCell ref="G50:U50"/>
    <mergeCell ref="V50:AD50"/>
    <mergeCell ref="AE50:AR50"/>
    <mergeCell ref="AS50:AW50"/>
    <mergeCell ref="D49:F49"/>
    <mergeCell ref="G49:U49"/>
    <mergeCell ref="V49:AD49"/>
    <mergeCell ref="AE49:AR49"/>
    <mergeCell ref="AS49:AW49"/>
    <mergeCell ref="E61:AW61"/>
    <mergeCell ref="AB63:AW63"/>
    <mergeCell ref="AB64:AW64"/>
    <mergeCell ref="D66:AW68"/>
    <mergeCell ref="W8:AH8"/>
    <mergeCell ref="W14:AM14"/>
    <mergeCell ref="D23:AW23"/>
    <mergeCell ref="D27:AW27"/>
    <mergeCell ref="D24:U24"/>
    <mergeCell ref="D25:U25"/>
    <mergeCell ref="D58:F58"/>
    <mergeCell ref="G58:U58"/>
    <mergeCell ref="V58:AD58"/>
    <mergeCell ref="AE58:AR58"/>
    <mergeCell ref="AS58:AW58"/>
    <mergeCell ref="D56:F56"/>
    <mergeCell ref="G56:U56"/>
    <mergeCell ref="V56:AD56"/>
    <mergeCell ref="AE56:AR56"/>
    <mergeCell ref="AS56:AW56"/>
    <mergeCell ref="D57:F57"/>
    <mergeCell ref="G57:U57"/>
    <mergeCell ref="V57:AD57"/>
    <mergeCell ref="AE57:AR57"/>
    <mergeCell ref="D51:F51"/>
    <mergeCell ref="G51:U51"/>
    <mergeCell ref="V51:AD51"/>
    <mergeCell ref="AE51:AR51"/>
    <mergeCell ref="AS51:AW51"/>
    <mergeCell ref="D52:F52"/>
    <mergeCell ref="G52:U52"/>
    <mergeCell ref="V52:AD52"/>
    <mergeCell ref="AE52:AR52"/>
    <mergeCell ref="AS52:AW52"/>
    <mergeCell ref="AE41:AR41"/>
    <mergeCell ref="AS41:AW41"/>
    <mergeCell ref="D45:F45"/>
    <mergeCell ref="G45:U45"/>
    <mergeCell ref="V45:AD45"/>
    <mergeCell ref="AE45:AR45"/>
    <mergeCell ref="AS45:AW45"/>
    <mergeCell ref="D42:F42"/>
    <mergeCell ref="G42:U42"/>
    <mergeCell ref="V42:AD42"/>
    <mergeCell ref="AE42:AR42"/>
    <mergeCell ref="AS42:AW42"/>
    <mergeCell ref="D43:F43"/>
    <mergeCell ref="G43:U43"/>
    <mergeCell ref="V43:AD43"/>
    <mergeCell ref="AE43:AR43"/>
    <mergeCell ref="AS43:AW43"/>
    <mergeCell ref="D44:F44"/>
    <mergeCell ref="G44:U44"/>
    <mergeCell ref="V44:AD44"/>
    <mergeCell ref="AE44:AR44"/>
    <mergeCell ref="AS44:AW44"/>
    <mergeCell ref="D41:F41"/>
    <mergeCell ref="G41:U41"/>
    <mergeCell ref="D40:F40"/>
    <mergeCell ref="G40:U40"/>
    <mergeCell ref="V40:AD40"/>
    <mergeCell ref="AE40:AR40"/>
    <mergeCell ref="AS40:AW40"/>
    <mergeCell ref="D39:AF39"/>
    <mergeCell ref="AL39:AW39"/>
    <mergeCell ref="D38:F38"/>
    <mergeCell ref="G38:U38"/>
    <mergeCell ref="V38:AD38"/>
    <mergeCell ref="AE38:AR38"/>
    <mergeCell ref="AS38:AW38"/>
    <mergeCell ref="AL37:AW37"/>
    <mergeCell ref="D21:U21"/>
    <mergeCell ref="V21:AW21"/>
    <mergeCell ref="D17:AW17"/>
    <mergeCell ref="D18:U18"/>
    <mergeCell ref="V18:AW18"/>
    <mergeCell ref="D19:U19"/>
    <mergeCell ref="V19:AW19"/>
    <mergeCell ref="D20:U20"/>
    <mergeCell ref="D36:F36"/>
    <mergeCell ref="G36:U36"/>
    <mergeCell ref="V36:AD36"/>
    <mergeCell ref="AE36:AR36"/>
    <mergeCell ref="AS36:AW36"/>
    <mergeCell ref="V20:AW20"/>
    <mergeCell ref="D31:U31"/>
    <mergeCell ref="D35:AF35"/>
    <mergeCell ref="AL35:AW35"/>
    <mergeCell ref="AZ6:BE24"/>
    <mergeCell ref="W10:AW10"/>
    <mergeCell ref="W12:AW12"/>
    <mergeCell ref="AR2:AX2"/>
    <mergeCell ref="AR3:AW3"/>
    <mergeCell ref="D6:AW6"/>
    <mergeCell ref="D32:U32"/>
    <mergeCell ref="V24:AW24"/>
    <mergeCell ref="V25:AW25"/>
    <mergeCell ref="V26:AW26"/>
    <mergeCell ref="V28:AW28"/>
    <mergeCell ref="V29:AW29"/>
    <mergeCell ref="V30:AW30"/>
    <mergeCell ref="V31:AW31"/>
    <mergeCell ref="V32:AW32"/>
    <mergeCell ref="D26:U26"/>
    <mergeCell ref="D28:U28"/>
    <mergeCell ref="D29:U29"/>
    <mergeCell ref="D30:U30"/>
  </mergeCells>
  <dataValidations disablePrompts="1" count="1">
    <dataValidation type="list" allowBlank="1" showInputMessage="1" showErrorMessage="1" sqref="AS49:AW58 AS36:AW36 AS38:AW38 AS40:AW45" xr:uid="{00000000-0002-0000-0800-000000000000}">
      <formula1>"žiak,zamest."</formula1>
    </dataValidation>
  </dataValidations>
  <pageMargins left="0.78740157480314965" right="0.78740157480314965" top="0.74803149606299213" bottom="0.74803149606299213" header="0" footer="0.23622047244094491"/>
  <pageSetup paperSize="9" scale="98" fitToHeight="0" orientation="portrait" r:id="rId1"/>
  <headerFooter differentFirst="1" scaleWithDoc="0" alignWithMargins="0">
    <oddFooter>&amp;R&amp;"Times New Roman,Normálne"&amp;12&amp;P/&amp;N</oddFooter>
    <firstFooter>&amp;L&amp;"Times New Roman,Tučné"&amp;12 1+004+01+01+0122&amp;R&amp;"Times New Roman,Normálne"&amp;12&amp;P/&amp;N</first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
    <pageSetUpPr fitToPage="1"/>
  </sheetPr>
  <dimension ref="C2:BB60"/>
  <sheetViews>
    <sheetView topLeftCell="A15" zoomScale="120" zoomScaleNormal="120" workbookViewId="0">
      <selection activeCell="D55" sqref="D55"/>
    </sheetView>
  </sheetViews>
  <sheetFormatPr defaultColWidth="9.109375" defaultRowHeight="13.2"/>
  <cols>
    <col min="1" max="2" width="1.88671875" style="49" customWidth="1"/>
    <col min="3" max="3" width="0.6640625" style="49" customWidth="1"/>
    <col min="4" max="49" width="1.88671875" style="49" customWidth="1"/>
    <col min="50" max="50" width="0.6640625" style="49" customWidth="1"/>
    <col min="51" max="52" width="9.109375" style="49"/>
    <col min="53" max="53" width="13.44140625" style="49" customWidth="1"/>
    <col min="54" max="16384" width="9.109375" style="49"/>
  </cols>
  <sheetData>
    <row r="2" spans="3:50" ht="15.75" customHeight="1">
      <c r="C2" s="194"/>
      <c r="D2" s="194"/>
      <c r="E2" s="195"/>
      <c r="F2" s="195"/>
      <c r="G2" s="195"/>
      <c r="H2" s="195"/>
      <c r="I2" s="195"/>
      <c r="J2" s="195"/>
      <c r="K2" s="195"/>
      <c r="L2" s="195"/>
      <c r="M2" s="196"/>
      <c r="N2" s="38"/>
      <c r="O2" s="197"/>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198" t="s">
        <v>118</v>
      </c>
      <c r="AQ2" s="651" t="str">
        <f>IF(vstupne_udaje!D4="xx-1xxxxx","",vstupne_udaje!D4)</f>
        <v/>
      </c>
      <c r="AR2" s="651"/>
      <c r="AS2" s="651"/>
      <c r="AT2" s="651"/>
      <c r="AU2" s="651"/>
      <c r="AV2" s="651"/>
      <c r="AW2" s="651"/>
      <c r="AX2" s="38"/>
    </row>
    <row r="3" spans="3:50" ht="8.25" customHeight="1">
      <c r="C3" s="194"/>
      <c r="D3" s="194"/>
      <c r="E3" s="199"/>
      <c r="F3" s="199"/>
      <c r="G3" s="199"/>
      <c r="H3" s="199"/>
      <c r="I3" s="199"/>
      <c r="J3" s="199"/>
      <c r="K3" s="199"/>
      <c r="L3" s="199"/>
      <c r="M3" s="199"/>
      <c r="N3" s="38"/>
      <c r="O3" s="200"/>
      <c r="P3" s="38"/>
      <c r="Q3" s="38"/>
      <c r="R3" s="38"/>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row>
    <row r="4" spans="3:50" ht="16.5" customHeight="1">
      <c r="C4" s="194"/>
      <c r="D4" s="194"/>
      <c r="E4" s="199"/>
      <c r="F4" s="199"/>
      <c r="G4" s="199"/>
      <c r="H4" s="199"/>
      <c r="I4" s="199"/>
      <c r="J4" s="199"/>
      <c r="K4" s="199"/>
      <c r="L4" s="199"/>
      <c r="M4" s="199"/>
      <c r="N4" s="38"/>
      <c r="O4" s="200"/>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row>
    <row r="5" spans="3:50" ht="18" customHeight="1">
      <c r="C5" s="192"/>
      <c r="D5" s="585" t="s">
        <v>268</v>
      </c>
      <c r="E5" s="585"/>
      <c r="F5" s="585"/>
      <c r="G5" s="585"/>
      <c r="H5" s="585"/>
      <c r="I5" s="585"/>
      <c r="J5" s="585"/>
      <c r="K5" s="585"/>
      <c r="L5" s="585"/>
      <c r="M5" s="585"/>
      <c r="N5" s="585"/>
      <c r="O5" s="585"/>
      <c r="P5" s="585"/>
      <c r="Q5" s="585"/>
      <c r="R5" s="585"/>
      <c r="S5" s="585"/>
      <c r="T5" s="585"/>
      <c r="U5" s="585"/>
      <c r="V5" s="585"/>
      <c r="W5" s="585"/>
      <c r="X5" s="585"/>
      <c r="Y5" s="585"/>
      <c r="Z5" s="585"/>
      <c r="AA5" s="585"/>
      <c r="AB5" s="585"/>
      <c r="AC5" s="585"/>
      <c r="AD5" s="585"/>
      <c r="AE5" s="585"/>
      <c r="AF5" s="585"/>
      <c r="AG5" s="585"/>
      <c r="AH5" s="585"/>
      <c r="AI5" s="585"/>
      <c r="AJ5" s="585"/>
      <c r="AK5" s="585"/>
      <c r="AL5" s="585"/>
      <c r="AM5" s="585"/>
      <c r="AN5" s="585"/>
      <c r="AO5" s="585"/>
      <c r="AP5" s="585"/>
      <c r="AQ5" s="585"/>
      <c r="AR5" s="585"/>
      <c r="AS5" s="585"/>
      <c r="AT5" s="585"/>
      <c r="AU5" s="585"/>
      <c r="AV5" s="585"/>
      <c r="AW5" s="585"/>
      <c r="AX5" s="201"/>
    </row>
    <row r="6" spans="3:50" ht="11.25" customHeight="1">
      <c r="C6" s="194"/>
      <c r="D6" s="194"/>
      <c r="E6" s="38"/>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row>
    <row r="7" spans="3:50" ht="27" customHeight="1">
      <c r="C7" s="202"/>
      <c r="D7" s="652" t="s">
        <v>107</v>
      </c>
      <c r="E7" s="653"/>
      <c r="F7" s="653"/>
      <c r="G7" s="653"/>
      <c r="H7" s="653"/>
      <c r="I7" s="653"/>
      <c r="J7" s="653"/>
      <c r="K7" s="653"/>
      <c r="L7" s="653"/>
      <c r="M7" s="653"/>
      <c r="N7" s="653"/>
      <c r="O7" s="653"/>
      <c r="P7" s="653"/>
      <c r="Q7" s="653"/>
      <c r="R7" s="653"/>
      <c r="S7" s="653"/>
      <c r="T7" s="653"/>
      <c r="U7" s="653"/>
      <c r="V7" s="653"/>
      <c r="W7" s="653"/>
      <c r="X7" s="653"/>
      <c r="Y7" s="653"/>
      <c r="Z7" s="653"/>
      <c r="AA7" s="653"/>
      <c r="AB7" s="653"/>
      <c r="AC7" s="653"/>
      <c r="AD7" s="653"/>
      <c r="AE7" s="653"/>
      <c r="AF7" s="653"/>
      <c r="AG7" s="653"/>
      <c r="AH7" s="653"/>
      <c r="AI7" s="653"/>
      <c r="AJ7" s="653"/>
      <c r="AK7" s="653"/>
      <c r="AL7" s="653"/>
      <c r="AM7" s="653"/>
      <c r="AN7" s="653"/>
      <c r="AO7" s="653"/>
      <c r="AP7" s="653"/>
      <c r="AQ7" s="653"/>
      <c r="AR7" s="653"/>
      <c r="AS7" s="653"/>
      <c r="AT7" s="653"/>
      <c r="AU7" s="653"/>
      <c r="AV7" s="653"/>
      <c r="AW7" s="654"/>
      <c r="AX7" s="203"/>
    </row>
    <row r="8" spans="3:50" ht="11.25" customHeight="1">
      <c r="C8" s="204"/>
      <c r="D8" s="204"/>
      <c r="E8" s="204"/>
      <c r="F8" s="204"/>
      <c r="G8" s="204"/>
      <c r="H8" s="204"/>
      <c r="I8" s="204"/>
      <c r="J8" s="204"/>
      <c r="K8" s="204"/>
      <c r="L8" s="204"/>
      <c r="M8" s="204"/>
      <c r="N8" s="204"/>
      <c r="O8" s="204"/>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row>
    <row r="9" spans="3:50" ht="13.5" customHeight="1">
      <c r="C9" s="205"/>
      <c r="D9" s="655" t="s">
        <v>265</v>
      </c>
      <c r="E9" s="655"/>
      <c r="F9" s="655"/>
      <c r="G9" s="655"/>
      <c r="H9" s="655"/>
      <c r="I9" s="655"/>
      <c r="J9" s="655"/>
      <c r="K9" s="655"/>
      <c r="L9" s="655"/>
      <c r="M9" s="655"/>
      <c r="N9" s="655"/>
      <c r="O9" s="655"/>
      <c r="P9" s="655"/>
      <c r="Q9" s="655"/>
      <c r="R9" s="655"/>
      <c r="S9" s="655"/>
      <c r="T9" s="655"/>
      <c r="U9" s="655"/>
      <c r="V9" s="655"/>
      <c r="W9" s="655"/>
      <c r="X9" s="655"/>
      <c r="Y9" s="655"/>
      <c r="Z9" s="655"/>
      <c r="AA9" s="655"/>
      <c r="AB9" s="655"/>
      <c r="AC9" s="655"/>
      <c r="AD9" s="655"/>
      <c r="AE9" s="655"/>
      <c r="AF9" s="655"/>
      <c r="AG9" s="655"/>
      <c r="AH9" s="655"/>
      <c r="AI9" s="655"/>
      <c r="AJ9" s="655"/>
      <c r="AK9" s="655"/>
      <c r="AL9" s="655"/>
      <c r="AM9" s="655"/>
      <c r="AN9" s="655"/>
      <c r="AO9" s="655"/>
      <c r="AP9" s="655"/>
      <c r="AQ9" s="655"/>
      <c r="AR9" s="655"/>
      <c r="AS9" s="655"/>
      <c r="AT9" s="655"/>
      <c r="AU9" s="655"/>
      <c r="AV9" s="655"/>
      <c r="AW9" s="655"/>
      <c r="AX9" s="38"/>
    </row>
    <row r="10" spans="3:50" ht="13.5" customHeight="1">
      <c r="C10" s="132"/>
      <c r="D10" s="656" t="s">
        <v>55</v>
      </c>
      <c r="E10" s="656"/>
      <c r="F10" s="656"/>
      <c r="G10" s="656"/>
      <c r="H10" s="656"/>
      <c r="I10" s="656"/>
      <c r="J10" s="656"/>
      <c r="K10" s="656"/>
      <c r="L10" s="656"/>
      <c r="M10" s="656"/>
      <c r="N10" s="656"/>
      <c r="O10" s="656"/>
      <c r="P10" s="656"/>
      <c r="Q10" s="656"/>
      <c r="R10" s="656"/>
      <c r="S10" s="656"/>
      <c r="T10" s="656"/>
      <c r="U10" s="656"/>
      <c r="V10" s="656"/>
      <c r="W10" s="656"/>
      <c r="X10" s="656"/>
      <c r="Y10" s="656"/>
      <c r="Z10" s="656"/>
      <c r="AA10" s="656"/>
      <c r="AB10" s="656"/>
      <c r="AC10" s="656"/>
      <c r="AD10" s="656"/>
      <c r="AE10" s="656"/>
      <c r="AF10" s="656"/>
      <c r="AG10" s="656"/>
      <c r="AH10" s="656"/>
      <c r="AI10" s="656"/>
      <c r="AJ10" s="656"/>
      <c r="AK10" s="656"/>
      <c r="AL10" s="656"/>
      <c r="AM10" s="656"/>
      <c r="AN10" s="656"/>
      <c r="AO10" s="656"/>
      <c r="AP10" s="656"/>
      <c r="AQ10" s="656"/>
      <c r="AR10" s="656"/>
      <c r="AS10" s="656"/>
      <c r="AT10" s="656"/>
      <c r="AU10" s="656"/>
      <c r="AV10" s="656"/>
      <c r="AW10" s="656"/>
      <c r="AX10" s="38"/>
    </row>
    <row r="11" spans="3:50" ht="13.5" customHeight="1">
      <c r="C11" s="132"/>
      <c r="D11" s="656" t="s">
        <v>56</v>
      </c>
      <c r="E11" s="656"/>
      <c r="F11" s="656"/>
      <c r="G11" s="656"/>
      <c r="H11" s="656"/>
      <c r="I11" s="656"/>
      <c r="J11" s="656"/>
      <c r="K11" s="656"/>
      <c r="L11" s="656"/>
      <c r="M11" s="656"/>
      <c r="N11" s="656"/>
      <c r="O11" s="656"/>
      <c r="P11" s="656"/>
      <c r="Q11" s="656"/>
      <c r="R11" s="656"/>
      <c r="S11" s="656"/>
      <c r="T11" s="656"/>
      <c r="U11" s="656"/>
      <c r="V11" s="656"/>
      <c r="W11" s="656"/>
      <c r="X11" s="656"/>
      <c r="Y11" s="656"/>
      <c r="Z11" s="656"/>
      <c r="AA11" s="656"/>
      <c r="AB11" s="656"/>
      <c r="AC11" s="656"/>
      <c r="AD11" s="656"/>
      <c r="AE11" s="656"/>
      <c r="AF11" s="656"/>
      <c r="AG11" s="656"/>
      <c r="AH11" s="656"/>
      <c r="AI11" s="656"/>
      <c r="AJ11" s="656"/>
      <c r="AK11" s="656"/>
      <c r="AL11" s="656"/>
      <c r="AM11" s="656"/>
      <c r="AN11" s="656"/>
      <c r="AO11" s="656"/>
      <c r="AP11" s="656"/>
      <c r="AQ11" s="656"/>
      <c r="AR11" s="656"/>
      <c r="AS11" s="656"/>
      <c r="AT11" s="656"/>
      <c r="AU11" s="656"/>
      <c r="AV11" s="656"/>
      <c r="AW11" s="656"/>
      <c r="AX11" s="38"/>
    </row>
    <row r="12" spans="3:50" ht="13.5" customHeight="1">
      <c r="C12" s="132"/>
      <c r="D12" s="656" t="s">
        <v>59</v>
      </c>
      <c r="E12" s="656"/>
      <c r="F12" s="656"/>
      <c r="G12" s="656"/>
      <c r="H12" s="656"/>
      <c r="I12" s="656"/>
      <c r="J12" s="656"/>
      <c r="K12" s="656"/>
      <c r="L12" s="656"/>
      <c r="M12" s="656"/>
      <c r="N12" s="656"/>
      <c r="O12" s="656"/>
      <c r="P12" s="656"/>
      <c r="Q12" s="656"/>
      <c r="R12" s="656"/>
      <c r="S12" s="656"/>
      <c r="T12" s="656"/>
      <c r="U12" s="656"/>
      <c r="V12" s="656"/>
      <c r="W12" s="656"/>
      <c r="X12" s="656"/>
      <c r="Y12" s="656"/>
      <c r="Z12" s="656"/>
      <c r="AA12" s="656"/>
      <c r="AB12" s="656"/>
      <c r="AC12" s="656"/>
      <c r="AD12" s="656"/>
      <c r="AE12" s="656"/>
      <c r="AF12" s="656"/>
      <c r="AG12" s="656"/>
      <c r="AH12" s="656"/>
      <c r="AI12" s="656"/>
      <c r="AJ12" s="656"/>
      <c r="AK12" s="656"/>
      <c r="AL12" s="656"/>
      <c r="AM12" s="656"/>
      <c r="AN12" s="656"/>
      <c r="AO12" s="656"/>
      <c r="AP12" s="656"/>
      <c r="AQ12" s="656"/>
      <c r="AR12" s="656"/>
      <c r="AS12" s="656"/>
      <c r="AT12" s="656"/>
      <c r="AU12" s="656"/>
      <c r="AV12" s="656"/>
      <c r="AW12" s="656"/>
      <c r="AX12" s="38"/>
    </row>
    <row r="13" spans="3:50" ht="15.6" customHeight="1">
      <c r="C13" s="132"/>
      <c r="D13" s="657" t="s">
        <v>57</v>
      </c>
      <c r="E13" s="657"/>
      <c r="F13" s="657"/>
      <c r="G13" s="657"/>
      <c r="H13" s="657"/>
      <c r="I13" s="657"/>
      <c r="J13" s="657"/>
      <c r="K13" s="657"/>
      <c r="L13" s="657"/>
      <c r="M13" s="657"/>
      <c r="N13" s="657"/>
      <c r="O13" s="657"/>
      <c r="P13" s="657"/>
      <c r="Q13" s="657"/>
      <c r="R13" s="657"/>
      <c r="S13" s="657"/>
      <c r="T13" s="657"/>
      <c r="U13" s="657"/>
      <c r="V13" s="657"/>
      <c r="W13" s="657"/>
      <c r="X13" s="657"/>
      <c r="Y13" s="657"/>
      <c r="Z13" s="657"/>
      <c r="AA13" s="657"/>
      <c r="AB13" s="657"/>
      <c r="AC13" s="657"/>
      <c r="AD13" s="657"/>
      <c r="AE13" s="657"/>
      <c r="AF13" s="657"/>
      <c r="AG13" s="657"/>
      <c r="AH13" s="657"/>
      <c r="AI13" s="657"/>
      <c r="AJ13" s="657"/>
      <c r="AK13" s="657"/>
      <c r="AL13" s="657"/>
      <c r="AM13" s="657"/>
      <c r="AN13" s="657"/>
      <c r="AO13" s="657"/>
      <c r="AP13" s="657"/>
      <c r="AQ13" s="657"/>
      <c r="AR13" s="657"/>
      <c r="AS13" s="657"/>
      <c r="AT13" s="657"/>
      <c r="AU13" s="657"/>
      <c r="AV13" s="657"/>
      <c r="AW13" s="657"/>
      <c r="AX13" s="38"/>
    </row>
    <row r="14" spans="3:50" ht="33.75" customHeight="1">
      <c r="D14" s="658" t="s">
        <v>28</v>
      </c>
      <c r="E14" s="658"/>
      <c r="F14" s="658"/>
      <c r="G14" s="658"/>
      <c r="H14" s="658"/>
      <c r="I14" s="658"/>
      <c r="J14" s="658"/>
      <c r="K14" s="658"/>
      <c r="L14" s="658"/>
      <c r="M14" s="658"/>
      <c r="N14" s="658"/>
      <c r="O14" s="658"/>
      <c r="P14" s="658"/>
      <c r="Q14" s="658"/>
      <c r="R14" s="658"/>
      <c r="S14" s="658"/>
      <c r="T14" s="658"/>
      <c r="U14" s="658"/>
      <c r="V14" s="658"/>
      <c r="W14" s="658"/>
      <c r="X14" s="658"/>
      <c r="Y14" s="658"/>
      <c r="Z14" s="658"/>
      <c r="AA14" s="658"/>
      <c r="AB14" s="658"/>
      <c r="AC14" s="658"/>
      <c r="AD14" s="658"/>
      <c r="AE14" s="658"/>
      <c r="AF14" s="658"/>
      <c r="AG14" s="658"/>
      <c r="AH14" s="658"/>
      <c r="AI14" s="658"/>
      <c r="AJ14" s="658"/>
      <c r="AK14" s="658"/>
      <c r="AL14" s="658"/>
      <c r="AM14" s="658"/>
      <c r="AN14" s="658"/>
      <c r="AO14" s="658"/>
      <c r="AP14" s="658"/>
      <c r="AQ14" s="658"/>
      <c r="AR14" s="658"/>
      <c r="AS14" s="658"/>
      <c r="AT14" s="658"/>
      <c r="AU14" s="658"/>
      <c r="AV14" s="658"/>
      <c r="AW14" s="658"/>
    </row>
    <row r="15" spans="3:50" ht="27" customHeight="1">
      <c r="D15" s="659" t="str">
        <f>IF(OR(vstupne_udaje!D11&gt;0,vstupne_udaje!D12&gt;0),CONCATENATE(vstupne_udaje!D11,", ",vstupne_udaje!D12,", ",vstupne_udaje!D13,"  ",vstupne_udaje!D14),"")</f>
        <v/>
      </c>
      <c r="E15" s="659"/>
      <c r="F15" s="659"/>
      <c r="G15" s="659"/>
      <c r="H15" s="659"/>
      <c r="I15" s="659"/>
      <c r="J15" s="659"/>
      <c r="K15" s="659"/>
      <c r="L15" s="659"/>
      <c r="M15" s="659"/>
      <c r="N15" s="659"/>
      <c r="O15" s="659"/>
      <c r="P15" s="659"/>
      <c r="Q15" s="659"/>
      <c r="R15" s="659"/>
      <c r="S15" s="659"/>
      <c r="T15" s="659"/>
      <c r="U15" s="659"/>
      <c r="V15" s="659"/>
      <c r="W15" s="659"/>
      <c r="X15" s="659"/>
      <c r="Y15" s="659"/>
      <c r="Z15" s="659"/>
      <c r="AA15" s="659"/>
      <c r="AB15" s="659"/>
      <c r="AC15" s="659"/>
      <c r="AD15" s="659"/>
      <c r="AE15" s="659"/>
      <c r="AF15" s="659"/>
      <c r="AG15" s="659"/>
      <c r="AH15" s="659"/>
      <c r="AI15" s="659"/>
      <c r="AJ15" s="659"/>
      <c r="AK15" s="659"/>
      <c r="AL15" s="659"/>
      <c r="AM15" s="659"/>
      <c r="AN15" s="659"/>
      <c r="AO15" s="659"/>
      <c r="AP15" s="659"/>
      <c r="AQ15" s="659"/>
      <c r="AR15" s="659"/>
      <c r="AS15" s="659"/>
      <c r="AT15" s="659"/>
      <c r="AU15" s="659"/>
      <c r="AV15" s="659"/>
      <c r="AW15" s="659"/>
    </row>
    <row r="16" spans="3:50" ht="13.5" customHeight="1">
      <c r="D16" s="650" t="str">
        <f>IF(vstupne_udaje!D15&gt;0,CONCATENATE("IČO ",vstupne_udaje!D15),"")</f>
        <v/>
      </c>
      <c r="E16" s="650"/>
      <c r="F16" s="650"/>
      <c r="G16" s="650"/>
      <c r="H16" s="650"/>
      <c r="I16" s="650"/>
      <c r="J16" s="650"/>
      <c r="K16" s="650"/>
      <c r="L16" s="650"/>
      <c r="M16" s="650"/>
      <c r="N16" s="650"/>
      <c r="O16" s="650"/>
      <c r="P16" s="650"/>
      <c r="Q16" s="650"/>
      <c r="R16" s="650"/>
      <c r="S16" s="650"/>
      <c r="T16" s="650"/>
      <c r="U16" s="650"/>
      <c r="V16" s="650"/>
      <c r="W16" s="650"/>
      <c r="X16" s="650"/>
      <c r="Y16" s="650"/>
      <c r="Z16" s="650"/>
      <c r="AA16" s="650"/>
      <c r="AB16" s="650"/>
      <c r="AC16" s="650"/>
      <c r="AD16" s="650"/>
      <c r="AE16" s="650"/>
      <c r="AF16" s="650"/>
      <c r="AG16" s="650"/>
      <c r="AH16" s="650"/>
      <c r="AI16" s="650"/>
      <c r="AJ16" s="650"/>
      <c r="AK16" s="650"/>
      <c r="AL16" s="650"/>
      <c r="AM16" s="650"/>
      <c r="AN16" s="650"/>
      <c r="AO16" s="650"/>
      <c r="AP16" s="650"/>
      <c r="AQ16" s="650"/>
      <c r="AR16" s="650"/>
      <c r="AS16" s="650"/>
      <c r="AT16" s="650"/>
      <c r="AU16" s="650"/>
      <c r="AV16" s="650"/>
      <c r="AW16" s="650"/>
    </row>
    <row r="17" spans="4:54" ht="13.5" hidden="1" customHeight="1">
      <c r="D17" s="650" t="str">
        <f>IF(vstupne_udaje!D16&gt;0,CONCATENATE("číslo účtu: ",vstupne_udaje!D16),"")</f>
        <v>číslo účtu: SKxx xxxx xxxx xxxx xxxx xxxx</v>
      </c>
      <c r="E17" s="650"/>
      <c r="F17" s="650"/>
      <c r="G17" s="650"/>
      <c r="H17" s="650"/>
      <c r="I17" s="650"/>
      <c r="J17" s="650"/>
      <c r="K17" s="650"/>
      <c r="L17" s="650"/>
      <c r="M17" s="650"/>
      <c r="N17" s="650"/>
      <c r="O17" s="650"/>
      <c r="P17" s="650"/>
      <c r="Q17" s="650"/>
      <c r="R17" s="650"/>
      <c r="S17" s="650"/>
      <c r="T17" s="650"/>
      <c r="U17" s="650"/>
      <c r="V17" s="650"/>
      <c r="W17" s="650"/>
      <c r="X17" s="650"/>
      <c r="Y17" s="650"/>
      <c r="Z17" s="650"/>
      <c r="AA17" s="650"/>
      <c r="AB17" s="650"/>
      <c r="AC17" s="650"/>
      <c r="AD17" s="650"/>
      <c r="AE17" s="650"/>
      <c r="AF17" s="650"/>
      <c r="AG17" s="650"/>
      <c r="AH17" s="650"/>
      <c r="AI17" s="650"/>
      <c r="AJ17" s="650"/>
      <c r="AK17" s="650"/>
      <c r="AL17" s="650"/>
      <c r="AM17" s="650"/>
      <c r="AN17" s="650"/>
      <c r="AO17" s="650"/>
      <c r="AP17" s="650"/>
      <c r="AQ17" s="650"/>
      <c r="AR17" s="650"/>
      <c r="AS17" s="650"/>
      <c r="AT17" s="650"/>
      <c r="AU17" s="650"/>
      <c r="AV17" s="650"/>
      <c r="AW17" s="650"/>
    </row>
    <row r="18" spans="4:54" ht="13.5" customHeight="1">
      <c r="D18" s="646" t="str">
        <f>IF(vstupne_udaje!D6="áno","(ďalej len „poistník“ alebo „škola“)","(ďalej len „poistník“)")</f>
        <v>(ďalej len „poistník“)</v>
      </c>
      <c r="E18" s="646"/>
      <c r="F18" s="646"/>
      <c r="G18" s="646"/>
      <c r="H18" s="646"/>
      <c r="I18" s="646"/>
      <c r="J18" s="646"/>
      <c r="K18" s="646"/>
      <c r="L18" s="646"/>
      <c r="M18" s="646"/>
      <c r="N18" s="646"/>
      <c r="O18" s="646"/>
      <c r="P18" s="646"/>
      <c r="Q18" s="646"/>
      <c r="R18" s="646"/>
      <c r="S18" s="646"/>
      <c r="T18" s="646"/>
      <c r="U18" s="646"/>
      <c r="V18" s="646"/>
      <c r="W18" s="646"/>
      <c r="X18" s="646"/>
      <c r="Y18" s="646"/>
      <c r="Z18" s="646"/>
      <c r="AA18" s="646"/>
      <c r="AB18" s="646"/>
      <c r="AC18" s="646"/>
      <c r="AD18" s="646"/>
      <c r="AE18" s="646"/>
      <c r="AF18" s="646"/>
      <c r="AG18" s="646"/>
      <c r="AH18" s="646"/>
      <c r="AI18" s="646"/>
      <c r="AJ18" s="646"/>
      <c r="AK18" s="646"/>
      <c r="AL18" s="646"/>
      <c r="AM18" s="646"/>
      <c r="AN18" s="646"/>
      <c r="AO18" s="646"/>
      <c r="AP18" s="646"/>
      <c r="AQ18" s="646"/>
      <c r="AR18" s="646"/>
      <c r="AS18" s="646"/>
      <c r="AT18" s="646"/>
      <c r="AU18" s="646"/>
      <c r="AV18" s="646"/>
      <c r="AW18" s="646"/>
    </row>
    <row r="19" spans="4:54" ht="13.5" hidden="1" customHeight="1">
      <c r="D19" s="646" t="str">
        <f>IF(vstupne_udaje!D6="áno","","ako zriaďovateľ školy:")</f>
        <v>ako zriaďovateľ školy:</v>
      </c>
      <c r="E19" s="646"/>
      <c r="F19" s="646"/>
      <c r="G19" s="646"/>
      <c r="H19" s="646"/>
      <c r="I19" s="646"/>
      <c r="J19" s="646"/>
      <c r="K19" s="646"/>
      <c r="L19" s="646"/>
      <c r="M19" s="646"/>
      <c r="N19" s="646"/>
      <c r="O19" s="646"/>
      <c r="P19" s="646"/>
      <c r="Q19" s="646"/>
      <c r="R19" s="646"/>
      <c r="S19" s="646"/>
      <c r="T19" s="646"/>
      <c r="U19" s="646"/>
      <c r="V19" s="646"/>
      <c r="W19" s="646"/>
      <c r="X19" s="646"/>
      <c r="Y19" s="646"/>
      <c r="Z19" s="646"/>
      <c r="AA19" s="646"/>
      <c r="AB19" s="646"/>
      <c r="AC19" s="646"/>
      <c r="AD19" s="646"/>
      <c r="AE19" s="646"/>
      <c r="AF19" s="646"/>
      <c r="AG19" s="646"/>
      <c r="AH19" s="646"/>
      <c r="AI19" s="646"/>
      <c r="AJ19" s="646"/>
      <c r="AK19" s="646"/>
      <c r="AL19" s="646"/>
      <c r="AM19" s="646"/>
      <c r="AN19" s="646"/>
      <c r="AO19" s="646"/>
      <c r="AP19" s="646"/>
      <c r="AQ19" s="646"/>
      <c r="AR19" s="646"/>
      <c r="AS19" s="646"/>
      <c r="AT19" s="646"/>
      <c r="AU19" s="646"/>
      <c r="AV19" s="646"/>
      <c r="AW19" s="646"/>
    </row>
    <row r="20" spans="4:54" ht="13.5" hidden="1" customHeight="1">
      <c r="D20" s="646" t="str">
        <f>IF(vstupne_udaje!D6="áno","",IF(OR(vstupne_udaje!D23&gt;0,vstupne_udaje!D24&gt;0),CONCATENATE(vstupne_udaje!D23,", ",vstupne_udaje!D24,", ",vstupne_udaje!D25,"  ",vstupne_udaje!D26),""))</f>
        <v/>
      </c>
      <c r="E20" s="646"/>
      <c r="F20" s="646"/>
      <c r="G20" s="646"/>
      <c r="H20" s="646"/>
      <c r="I20" s="646"/>
      <c r="J20" s="646"/>
      <c r="K20" s="646"/>
      <c r="L20" s="646"/>
      <c r="M20" s="646"/>
      <c r="N20" s="646"/>
      <c r="O20" s="646"/>
      <c r="P20" s="646"/>
      <c r="Q20" s="646"/>
      <c r="R20" s="646"/>
      <c r="S20" s="646"/>
      <c r="T20" s="646"/>
      <c r="U20" s="646"/>
      <c r="V20" s="646"/>
      <c r="W20" s="646"/>
      <c r="X20" s="646"/>
      <c r="Y20" s="646"/>
      <c r="Z20" s="646"/>
      <c r="AA20" s="646"/>
      <c r="AB20" s="646"/>
      <c r="AC20" s="646"/>
      <c r="AD20" s="646"/>
      <c r="AE20" s="646"/>
      <c r="AF20" s="646"/>
      <c r="AG20" s="646"/>
      <c r="AH20" s="646"/>
      <c r="AI20" s="646"/>
      <c r="AJ20" s="646"/>
      <c r="AK20" s="646"/>
      <c r="AL20" s="646"/>
      <c r="AM20" s="646"/>
      <c r="AN20" s="646"/>
      <c r="AO20" s="646"/>
      <c r="AP20" s="646"/>
      <c r="AQ20" s="646"/>
      <c r="AR20" s="646"/>
      <c r="AS20" s="646"/>
      <c r="AT20" s="646"/>
      <c r="AU20" s="646"/>
      <c r="AV20" s="646"/>
      <c r="AW20" s="646"/>
    </row>
    <row r="21" spans="4:54" ht="13.5" hidden="1" customHeight="1">
      <c r="D21" s="647" t="str">
        <f>IF(vstupne_udaje!D6="áno","",IF(vstupne_udaje!D27&gt;0,CONCATENATE("číslo účtu: ",vstupne_udaje!D27),""))</f>
        <v>číslo účtu: SKxx xxxx xxxx xxxx xxxx xxxx</v>
      </c>
      <c r="E21" s="647"/>
      <c r="F21" s="647"/>
      <c r="G21" s="647"/>
      <c r="H21" s="647"/>
      <c r="I21" s="647"/>
      <c r="J21" s="647"/>
      <c r="K21" s="647"/>
      <c r="L21" s="647"/>
      <c r="M21" s="647"/>
      <c r="N21" s="647"/>
      <c r="O21" s="647"/>
      <c r="P21" s="647"/>
      <c r="Q21" s="647"/>
      <c r="R21" s="647"/>
      <c r="S21" s="647"/>
      <c r="T21" s="647"/>
      <c r="U21" s="647"/>
      <c r="V21" s="647"/>
      <c r="W21" s="647"/>
      <c r="X21" s="647"/>
      <c r="Y21" s="647"/>
      <c r="Z21" s="647"/>
      <c r="AA21" s="647"/>
      <c r="AB21" s="647"/>
      <c r="AC21" s="647"/>
      <c r="AD21" s="647"/>
      <c r="AE21" s="647"/>
      <c r="AF21" s="647"/>
      <c r="AG21" s="647"/>
      <c r="AH21" s="647"/>
      <c r="AI21" s="647"/>
      <c r="AJ21" s="647"/>
      <c r="AK21" s="647"/>
      <c r="AL21" s="647"/>
      <c r="AM21" s="647"/>
      <c r="AN21" s="647"/>
      <c r="AO21" s="647"/>
      <c r="AP21" s="647"/>
      <c r="AQ21" s="647"/>
      <c r="AR21" s="647"/>
      <c r="AS21" s="647"/>
      <c r="AT21" s="647"/>
      <c r="AU21" s="647"/>
      <c r="AV21" s="647"/>
      <c r="AW21" s="647"/>
    </row>
    <row r="22" spans="4:54" ht="13.5" customHeight="1">
      <c r="D22" s="287"/>
      <c r="E22" s="287"/>
      <c r="F22" s="287"/>
      <c r="G22" s="287"/>
      <c r="H22" s="287"/>
      <c r="I22" s="287"/>
      <c r="J22" s="287"/>
      <c r="K22" s="287"/>
      <c r="L22" s="287"/>
      <c r="M22" s="287"/>
      <c r="N22" s="287"/>
      <c r="O22" s="287"/>
      <c r="P22" s="287"/>
      <c r="Q22" s="287"/>
      <c r="R22" s="287"/>
      <c r="S22" s="287"/>
      <c r="T22" s="287"/>
      <c r="U22" s="287"/>
      <c r="V22" s="287"/>
      <c r="W22" s="287"/>
      <c r="X22" s="287"/>
      <c r="Y22" s="287"/>
      <c r="Z22" s="287"/>
      <c r="AA22" s="287"/>
      <c r="AB22" s="287"/>
      <c r="AC22" s="287"/>
      <c r="AD22" s="287"/>
      <c r="AE22" s="287"/>
      <c r="AF22" s="287"/>
      <c r="AG22" s="287"/>
      <c r="AH22" s="287"/>
      <c r="AI22" s="287"/>
      <c r="AJ22" s="287"/>
      <c r="AK22" s="287"/>
      <c r="AL22" s="287"/>
      <c r="AM22" s="287"/>
      <c r="AN22" s="287"/>
      <c r="AO22" s="287"/>
      <c r="AP22" s="287"/>
      <c r="AQ22" s="287"/>
      <c r="AR22" s="287"/>
      <c r="AS22" s="287"/>
      <c r="AT22" s="287"/>
      <c r="AU22" s="287"/>
      <c r="AV22" s="287"/>
      <c r="AW22" s="287"/>
    </row>
    <row r="23" spans="4:54" ht="13.5" customHeight="1">
      <c r="D23" s="287"/>
      <c r="E23" s="287"/>
      <c r="F23" s="287"/>
      <c r="G23" s="287"/>
      <c r="H23" s="287"/>
      <c r="I23" s="287"/>
      <c r="J23" s="287"/>
      <c r="K23" s="287"/>
      <c r="L23" s="287"/>
      <c r="M23" s="287"/>
      <c r="N23" s="287"/>
      <c r="O23" s="287"/>
      <c r="P23" s="287"/>
      <c r="Q23" s="287"/>
      <c r="R23" s="287"/>
      <c r="S23" s="287"/>
      <c r="T23" s="287"/>
      <c r="U23" s="287"/>
      <c r="V23" s="287"/>
      <c r="W23" s="287"/>
      <c r="X23" s="287"/>
      <c r="Y23" s="287"/>
      <c r="Z23" s="287"/>
      <c r="AA23" s="287"/>
      <c r="AB23" s="287"/>
      <c r="AC23" s="287"/>
      <c r="AD23" s="287"/>
      <c r="AE23" s="287"/>
      <c r="AF23" s="287"/>
      <c r="AG23" s="287"/>
      <c r="AH23" s="287"/>
      <c r="AI23" s="287"/>
      <c r="AJ23" s="287"/>
      <c r="AK23" s="287"/>
      <c r="AL23" s="287"/>
      <c r="AM23" s="287"/>
      <c r="AN23" s="287"/>
      <c r="AO23" s="287"/>
      <c r="AP23" s="287"/>
      <c r="AQ23" s="287"/>
      <c r="AR23" s="287"/>
      <c r="AS23" s="287"/>
      <c r="AT23" s="287"/>
      <c r="AU23" s="287"/>
      <c r="AV23" s="287"/>
      <c r="AW23" s="287"/>
    </row>
    <row r="24" spans="4:54" ht="13.5" customHeight="1">
      <c r="D24" s="287"/>
      <c r="E24" s="287"/>
      <c r="F24" s="287"/>
      <c r="G24" s="287"/>
      <c r="H24" s="287"/>
      <c r="I24" s="287"/>
      <c r="J24" s="287"/>
      <c r="K24" s="287"/>
      <c r="L24" s="287"/>
      <c r="M24" s="287"/>
      <c r="N24" s="287"/>
      <c r="O24" s="287"/>
      <c r="P24" s="287"/>
      <c r="Q24" s="287"/>
      <c r="R24" s="287"/>
      <c r="S24" s="287"/>
      <c r="T24" s="287"/>
      <c r="U24" s="287"/>
      <c r="V24" s="287"/>
      <c r="W24" s="287"/>
      <c r="X24" s="287"/>
      <c r="Y24" s="287"/>
      <c r="Z24" s="287"/>
      <c r="AA24" s="287"/>
      <c r="AB24" s="287"/>
      <c r="AC24" s="287"/>
      <c r="AD24" s="287"/>
      <c r="AE24" s="287"/>
      <c r="AF24" s="287"/>
      <c r="AG24" s="287"/>
      <c r="AH24" s="287"/>
      <c r="AI24" s="287"/>
      <c r="AJ24" s="287"/>
      <c r="AK24" s="287"/>
      <c r="AL24" s="287"/>
      <c r="AM24" s="287"/>
      <c r="AN24" s="287"/>
      <c r="AO24" s="287"/>
      <c r="AP24" s="287"/>
      <c r="AQ24" s="287"/>
      <c r="AR24" s="287"/>
      <c r="AS24" s="287"/>
      <c r="AT24" s="287"/>
      <c r="AU24" s="287"/>
      <c r="AV24" s="287"/>
      <c r="AW24" s="287"/>
    </row>
    <row r="25" spans="4:54" ht="51" customHeight="1">
      <c r="D25" s="648" t="str">
        <f>CONCATENATE("Poistník týmto v zhode s ust. § 5a ods. 7 zákona č. 211/2000 Z. z. potvrdzuje zverejnenie poistnej zmluvy č. ",vstupne_udaje!D4," uzavretej dňa ",DAY(Poistne!C5),".",MONTH(Poistne!C5),".",YEAR(Poistne!C5)," medzi poistníkom a poisťovateľom na predmet zmluvy Úrazové poistenie žiakov - 118.")</f>
        <v>Poistník týmto v zhode s ust. § 5a ods. 7 zákona č. 211/2000 Z. z. potvrdzuje zverejnenie poistnej zmluvy č. xx-1xxxxx uzavretej dňa 1.9.2022 medzi poistníkom a poisťovateľom na predmet zmluvy Úrazové poistenie žiakov - 118.</v>
      </c>
      <c r="E25" s="648"/>
      <c r="F25" s="648"/>
      <c r="G25" s="648"/>
      <c r="H25" s="648"/>
      <c r="I25" s="648"/>
      <c r="J25" s="648"/>
      <c r="K25" s="648"/>
      <c r="L25" s="648"/>
      <c r="M25" s="648"/>
      <c r="N25" s="648"/>
      <c r="O25" s="648"/>
      <c r="P25" s="648"/>
      <c r="Q25" s="648"/>
      <c r="R25" s="648"/>
      <c r="S25" s="648"/>
      <c r="T25" s="648"/>
      <c r="U25" s="648"/>
      <c r="V25" s="648"/>
      <c r="W25" s="648"/>
      <c r="X25" s="648"/>
      <c r="Y25" s="648"/>
      <c r="Z25" s="648"/>
      <c r="AA25" s="648"/>
      <c r="AB25" s="648"/>
      <c r="AC25" s="648"/>
      <c r="AD25" s="648"/>
      <c r="AE25" s="648"/>
      <c r="AF25" s="648"/>
      <c r="AG25" s="648"/>
      <c r="AH25" s="648"/>
      <c r="AI25" s="648"/>
      <c r="AJ25" s="648"/>
      <c r="AK25" s="648"/>
      <c r="AL25" s="648"/>
      <c r="AM25" s="648"/>
      <c r="AN25" s="648"/>
      <c r="AO25" s="648"/>
      <c r="AP25" s="648"/>
      <c r="AQ25" s="648"/>
      <c r="AR25" s="648"/>
      <c r="AS25" s="648"/>
      <c r="AT25" s="648"/>
      <c r="AU25" s="648"/>
      <c r="AV25" s="648"/>
      <c r="AW25" s="648"/>
    </row>
    <row r="26" spans="4:54" ht="13.8">
      <c r="D26" s="48"/>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48"/>
      <c r="AJ26" s="48"/>
      <c r="AK26" s="48"/>
      <c r="AL26" s="48"/>
      <c r="AM26" s="48"/>
      <c r="AN26" s="48"/>
      <c r="AO26" s="48"/>
      <c r="AP26" s="48"/>
      <c r="AQ26" s="48"/>
      <c r="AR26" s="48"/>
      <c r="AS26" s="48"/>
      <c r="AT26" s="48"/>
      <c r="AU26" s="48"/>
      <c r="AV26" s="48"/>
      <c r="AW26" s="48"/>
    </row>
    <row r="27" spans="4:54" ht="13.8">
      <c r="D27" s="205" t="s">
        <v>179</v>
      </c>
      <c r="E27" s="205"/>
      <c r="F27" s="132"/>
      <c r="G27" s="132"/>
      <c r="H27" s="132"/>
      <c r="I27" s="132"/>
      <c r="J27" s="132"/>
      <c r="K27" s="132"/>
      <c r="L27" s="132"/>
      <c r="M27" s="132"/>
      <c r="N27" s="132"/>
      <c r="O27" s="132"/>
      <c r="P27" s="132"/>
      <c r="Q27" s="132"/>
      <c r="R27" s="132"/>
      <c r="S27" s="132"/>
      <c r="T27" s="132"/>
      <c r="U27" s="132"/>
      <c r="V27" s="132"/>
      <c r="W27" s="132"/>
      <c r="X27" s="132"/>
      <c r="Y27" s="132"/>
      <c r="Z27" s="132"/>
      <c r="AA27" s="132"/>
      <c r="AB27" s="132"/>
      <c r="AC27" s="132"/>
      <c r="AD27" s="132"/>
      <c r="AE27" s="132"/>
      <c r="AF27" s="132"/>
      <c r="AG27" s="132"/>
      <c r="AH27" s="132"/>
      <c r="AI27" s="132"/>
      <c r="AJ27" s="132"/>
      <c r="AK27" s="132"/>
      <c r="AL27" s="132"/>
      <c r="AM27" s="132"/>
      <c r="AN27" s="132"/>
      <c r="AO27" s="132"/>
      <c r="AP27" s="132"/>
      <c r="AQ27" s="132"/>
      <c r="AR27" s="132"/>
      <c r="AS27" s="132"/>
      <c r="AT27" s="132"/>
      <c r="AU27" s="187"/>
      <c r="AV27" s="187" t="s">
        <v>182</v>
      </c>
      <c r="AW27" s="48"/>
    </row>
    <row r="28" spans="4:54" ht="3" customHeight="1">
      <c r="D28" s="205"/>
      <c r="E28" s="205"/>
      <c r="F28" s="132"/>
      <c r="G28" s="132"/>
      <c r="H28" s="132"/>
      <c r="I28" s="132"/>
      <c r="J28" s="132"/>
      <c r="K28" s="132"/>
      <c r="L28" s="132"/>
      <c r="M28" s="132"/>
      <c r="N28" s="132"/>
      <c r="O28" s="132"/>
      <c r="P28" s="132"/>
      <c r="Q28" s="132"/>
      <c r="R28" s="132"/>
      <c r="S28" s="132"/>
      <c r="T28" s="132"/>
      <c r="U28" s="132"/>
      <c r="V28" s="132"/>
      <c r="W28" s="132"/>
      <c r="X28" s="132"/>
      <c r="Y28" s="132"/>
      <c r="Z28" s="132"/>
      <c r="AA28" s="132"/>
      <c r="AB28" s="132"/>
      <c r="AC28" s="132"/>
      <c r="AD28" s="132"/>
      <c r="AE28" s="132"/>
      <c r="AF28" s="132"/>
      <c r="AG28" s="132"/>
      <c r="AH28" s="132"/>
      <c r="AI28" s="132"/>
      <c r="AJ28" s="132"/>
      <c r="AK28" s="132"/>
      <c r="AL28" s="132"/>
      <c r="AM28" s="132"/>
      <c r="AN28" s="132"/>
      <c r="AO28" s="132"/>
      <c r="AP28" s="132"/>
      <c r="AQ28" s="132"/>
      <c r="AR28" s="132"/>
      <c r="AS28" s="132"/>
      <c r="AT28" s="132"/>
      <c r="AU28" s="132"/>
      <c r="AV28" s="132"/>
      <c r="AW28" s="48"/>
    </row>
    <row r="29" spans="4:54" ht="13.8">
      <c r="D29" s="205" t="s">
        <v>180</v>
      </c>
      <c r="E29" s="205"/>
      <c r="F29" s="132"/>
      <c r="G29" s="132"/>
      <c r="H29" s="132"/>
      <c r="I29" s="132"/>
      <c r="J29" s="132"/>
      <c r="K29" s="132"/>
      <c r="L29" s="132"/>
      <c r="M29" s="132"/>
      <c r="N29" s="132"/>
      <c r="O29" s="132"/>
      <c r="P29" s="132"/>
      <c r="Q29" s="132"/>
      <c r="R29" s="132"/>
      <c r="S29" s="132"/>
      <c r="T29" s="132"/>
      <c r="U29" s="132"/>
      <c r="V29" s="132"/>
      <c r="W29" s="132"/>
      <c r="X29" s="132"/>
      <c r="Y29" s="132"/>
      <c r="Z29" s="132"/>
      <c r="AA29" s="132"/>
      <c r="AB29" s="132"/>
      <c r="AC29" s="132"/>
      <c r="AD29" s="132"/>
      <c r="AE29" s="132"/>
      <c r="AF29" s="132"/>
      <c r="AG29" s="132"/>
      <c r="AH29" s="132"/>
      <c r="AI29" s="132"/>
      <c r="AJ29" s="649"/>
      <c r="AK29" s="649"/>
      <c r="AL29" s="649"/>
      <c r="AM29" s="649"/>
      <c r="AN29" s="649"/>
      <c r="AO29" s="649" t="str">
        <f ca="1">IF(AND(test1="O.K.",test2="O.K."),IF(Poistne!$D$43&lt;&gt;"",Poistne!$D$43,Poistne!$D$35),"?")</f>
        <v>?</v>
      </c>
      <c r="AP29" s="649"/>
      <c r="AQ29" s="649"/>
      <c r="AR29" s="649"/>
      <c r="AS29" s="649"/>
      <c r="AT29" s="265" t="s">
        <v>251</v>
      </c>
      <c r="AU29" s="265"/>
      <c r="AV29" s="265"/>
      <c r="AW29" s="48"/>
      <c r="AZ29" s="65"/>
      <c r="BA29" s="281"/>
      <c r="BB29" s="65"/>
    </row>
    <row r="30" spans="4:54" ht="3" customHeight="1">
      <c r="D30" s="205"/>
      <c r="E30" s="205"/>
      <c r="F30" s="132"/>
      <c r="G30" s="132"/>
      <c r="H30" s="132"/>
      <c r="I30" s="132"/>
      <c r="J30" s="132"/>
      <c r="K30" s="132"/>
      <c r="L30" s="132"/>
      <c r="M30" s="132"/>
      <c r="N30" s="132"/>
      <c r="O30" s="132"/>
      <c r="P30" s="132"/>
      <c r="Q30" s="132"/>
      <c r="R30" s="132"/>
      <c r="S30" s="132"/>
      <c r="T30" s="132"/>
      <c r="U30" s="132"/>
      <c r="V30" s="132"/>
      <c r="W30" s="132"/>
      <c r="X30" s="132"/>
      <c r="Y30" s="132"/>
      <c r="Z30" s="132"/>
      <c r="AA30" s="132"/>
      <c r="AB30" s="132"/>
      <c r="AC30" s="132"/>
      <c r="AD30" s="132"/>
      <c r="AE30" s="132"/>
      <c r="AF30" s="132"/>
      <c r="AG30" s="132"/>
      <c r="AH30" s="132"/>
      <c r="AI30" s="132"/>
      <c r="AJ30" s="132"/>
      <c r="AK30" s="132"/>
      <c r="AL30" s="132"/>
      <c r="AM30" s="132"/>
      <c r="AN30" s="132"/>
      <c r="AO30" s="132"/>
      <c r="AP30" s="132"/>
      <c r="AQ30" s="132"/>
      <c r="AR30" s="132"/>
      <c r="AS30" s="132"/>
      <c r="AT30" s="132"/>
      <c r="AU30" s="132"/>
      <c r="AV30" s="132"/>
      <c r="AW30" s="48"/>
    </row>
    <row r="31" spans="4:54" ht="13.8">
      <c r="D31" s="205" t="s">
        <v>181</v>
      </c>
      <c r="E31" s="205"/>
      <c r="F31" s="132"/>
      <c r="G31" s="132"/>
      <c r="H31" s="132"/>
      <c r="I31" s="132"/>
      <c r="J31" s="132"/>
      <c r="K31" s="132"/>
      <c r="L31" s="132"/>
      <c r="M31" s="132"/>
      <c r="N31" s="132"/>
      <c r="O31" s="132"/>
      <c r="P31" s="132"/>
      <c r="Q31" s="132"/>
      <c r="R31" s="132"/>
      <c r="S31" s="132"/>
      <c r="T31" s="132"/>
      <c r="U31" s="132"/>
      <c r="V31" s="132"/>
      <c r="W31" s="132"/>
      <c r="X31" s="132"/>
      <c r="Y31" s="132"/>
      <c r="Z31" s="132"/>
      <c r="AA31" s="132"/>
      <c r="AB31" s="132"/>
      <c r="AC31" s="132"/>
      <c r="AD31" s="132"/>
      <c r="AE31" s="132"/>
      <c r="AF31" s="132"/>
      <c r="AG31" s="132"/>
      <c r="AH31" s="132"/>
      <c r="AI31" s="132"/>
      <c r="AJ31" s="645"/>
      <c r="AK31" s="645"/>
      <c r="AL31" s="645"/>
      <c r="AM31" s="645"/>
      <c r="AN31" s="645"/>
      <c r="AO31" s="645"/>
      <c r="AP31" s="645"/>
      <c r="AQ31" s="645"/>
      <c r="AR31" s="645"/>
      <c r="AS31" s="645"/>
      <c r="AT31" s="277"/>
      <c r="AU31" s="277"/>
      <c r="AV31" s="277"/>
      <c r="AW31" s="48"/>
    </row>
    <row r="32" spans="4:54" ht="13.8">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row>
    <row r="33" spans="4:49" ht="13.8">
      <c r="D33" s="48" t="str">
        <f>IF(AND(vstupne_udaje!D41=" V (názov obce/mesta)",vstupne_udaje!D42="DD.MM.YYYY"),"V ................................... , dňa ..............",IF(vstupne_udaje!D43="",CONCATENATE(vstupne_udaje!D41,", dňa ............."),CONCATENATE(vstupne_udaje!D41,", dňa .............")))</f>
        <v>V ................................... , dňa ..............</v>
      </c>
      <c r="E33" s="48"/>
      <c r="F33" s="48"/>
      <c r="G33" s="48"/>
      <c r="H33" s="48"/>
      <c r="I33" s="48"/>
      <c r="J33" s="48"/>
      <c r="K33" s="48"/>
      <c r="L33" s="48"/>
      <c r="M33" s="48"/>
      <c r="N33" s="48"/>
      <c r="O33" s="48"/>
      <c r="P33" s="48"/>
      <c r="Q33" s="48"/>
      <c r="R33" s="48"/>
      <c r="S33" s="48"/>
      <c r="T33" s="48"/>
      <c r="U33" s="48"/>
      <c r="V33" s="48"/>
      <c r="W33" s="48"/>
      <c r="X33" s="48"/>
      <c r="Y33" s="48"/>
      <c r="Z33" s="48"/>
      <c r="AA33" s="48"/>
      <c r="AB33" s="48"/>
      <c r="AC33" s="48"/>
      <c r="AD33" s="48"/>
      <c r="AE33" s="48"/>
      <c r="AF33" s="48"/>
      <c r="AG33" s="48"/>
      <c r="AH33" s="48"/>
      <c r="AI33" s="48"/>
      <c r="AJ33" s="48"/>
      <c r="AK33" s="48"/>
      <c r="AL33" s="48"/>
      <c r="AM33" s="48"/>
      <c r="AN33" s="48"/>
      <c r="AO33" s="48"/>
      <c r="AP33" s="48"/>
      <c r="AQ33" s="48"/>
      <c r="AR33" s="48"/>
      <c r="AS33" s="48"/>
      <c r="AT33" s="48"/>
      <c r="AU33" s="48"/>
      <c r="AV33" s="48"/>
      <c r="AW33" s="48"/>
    </row>
    <row r="34" spans="4:49" ht="8.25" customHeight="1">
      <c r="D34" s="48"/>
      <c r="E34" s="48"/>
      <c r="F34" s="48"/>
      <c r="G34" s="48"/>
      <c r="H34" s="48"/>
      <c r="I34" s="48"/>
      <c r="J34" s="48"/>
      <c r="K34" s="48"/>
      <c r="L34" s="48"/>
      <c r="M34" s="48"/>
      <c r="N34" s="48"/>
      <c r="O34" s="48"/>
      <c r="P34" s="48"/>
      <c r="Q34" s="48"/>
      <c r="R34" s="48"/>
      <c r="S34" s="48"/>
      <c r="T34" s="4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8"/>
      <c r="AS34" s="48"/>
      <c r="AT34" s="48"/>
      <c r="AU34" s="48"/>
      <c r="AV34" s="48"/>
      <c r="AW34" s="48"/>
    </row>
    <row r="35" spans="4:49" ht="13.8">
      <c r="D35" s="182" t="s">
        <v>160</v>
      </c>
      <c r="E35" s="182"/>
      <c r="F35" s="182"/>
      <c r="G35" s="184"/>
      <c r="H35" s="182"/>
      <c r="I35" s="182"/>
      <c r="J35" s="182"/>
      <c r="K35" s="182"/>
      <c r="L35" s="182"/>
      <c r="M35" s="182"/>
      <c r="N35" s="182"/>
      <c r="O35" s="182"/>
      <c r="P35" s="182"/>
      <c r="Q35" s="182"/>
      <c r="R35" s="182"/>
      <c r="S35" s="182"/>
      <c r="T35" s="182"/>
      <c r="U35" s="48"/>
      <c r="V35" s="48"/>
      <c r="W35" s="48"/>
      <c r="X35" s="48"/>
      <c r="Y35" s="48"/>
      <c r="Z35" s="48"/>
      <c r="AA35" s="48"/>
      <c r="AB35" s="48"/>
      <c r="AC35" s="48"/>
      <c r="AD35" s="48"/>
      <c r="AE35" s="48"/>
      <c r="AF35" s="48"/>
      <c r="AG35" s="48"/>
      <c r="AH35" s="48"/>
      <c r="AI35" s="48"/>
      <c r="AJ35" s="48"/>
      <c r="AK35" s="48"/>
      <c r="AL35" s="48"/>
      <c r="AM35" s="48"/>
      <c r="AN35" s="48"/>
      <c r="AO35" s="48"/>
      <c r="AP35" s="48"/>
      <c r="AQ35" s="48"/>
      <c r="AR35" s="48"/>
      <c r="AS35" s="48"/>
      <c r="AT35" s="48"/>
      <c r="AU35" s="48"/>
      <c r="AV35" s="48"/>
      <c r="AW35" s="48"/>
    </row>
    <row r="36" spans="4:49" ht="13.8">
      <c r="D36" s="171"/>
      <c r="E36" s="171"/>
      <c r="F36" s="171"/>
      <c r="G36" s="185"/>
      <c r="H36" s="171"/>
      <c r="I36" s="171"/>
      <c r="J36" s="171"/>
      <c r="K36" s="171"/>
      <c r="L36" s="171"/>
      <c r="M36" s="171"/>
      <c r="N36" s="171"/>
      <c r="O36" s="171"/>
      <c r="P36" s="171"/>
      <c r="Q36" s="171"/>
      <c r="R36" s="171"/>
      <c r="S36" s="171"/>
      <c r="T36" s="171"/>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row>
    <row r="37" spans="4:49" ht="13.8">
      <c r="D37" s="171"/>
      <c r="E37" s="644"/>
      <c r="F37" s="644"/>
      <c r="G37" s="644"/>
      <c r="H37" s="171"/>
      <c r="I37" s="171"/>
      <c r="J37" s="171"/>
      <c r="K37" s="171"/>
      <c r="L37" s="171"/>
      <c r="M37" s="171"/>
      <c r="N37" s="171"/>
      <c r="O37" s="171"/>
      <c r="P37" s="171"/>
      <c r="Q37" s="171"/>
      <c r="R37" s="171"/>
      <c r="S37" s="171"/>
      <c r="T37" s="171"/>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row>
    <row r="38" spans="4:49" ht="13.8">
      <c r="D38" s="171"/>
      <c r="E38" s="191"/>
      <c r="F38" s="191"/>
      <c r="G38" s="191"/>
      <c r="H38" s="171"/>
      <c r="I38" s="171"/>
      <c r="J38" s="171"/>
      <c r="K38" s="171"/>
      <c r="L38" s="171"/>
      <c r="M38" s="171"/>
      <c r="N38" s="171"/>
      <c r="O38" s="171"/>
      <c r="P38" s="171"/>
      <c r="Q38" s="171"/>
      <c r="R38" s="171"/>
      <c r="S38" s="171"/>
      <c r="T38" s="171"/>
      <c r="U38" s="48"/>
      <c r="V38" s="48"/>
      <c r="W38" s="48"/>
      <c r="X38" s="48"/>
      <c r="Y38" s="48"/>
      <c r="Z38" s="48"/>
      <c r="AA38" s="48"/>
      <c r="AB38" s="48"/>
      <c r="AC38" s="48"/>
      <c r="AD38" s="48"/>
      <c r="AE38" s="48"/>
      <c r="AF38" s="48"/>
      <c r="AG38" s="48"/>
      <c r="AH38" s="48"/>
      <c r="AI38" s="48"/>
      <c r="AJ38" s="48"/>
      <c r="AK38" s="48"/>
      <c r="AL38" s="48"/>
      <c r="AM38" s="48"/>
      <c r="AN38" s="48"/>
      <c r="AO38" s="48"/>
      <c r="AP38" s="48"/>
      <c r="AQ38" s="48"/>
      <c r="AR38" s="48"/>
      <c r="AS38" s="48"/>
      <c r="AT38" s="48"/>
      <c r="AU38" s="48"/>
      <c r="AV38" s="48"/>
      <c r="AW38" s="48"/>
    </row>
    <row r="39" spans="4:49" ht="13.8">
      <c r="D39" s="561" t="s">
        <v>159</v>
      </c>
      <c r="E39" s="561"/>
      <c r="F39" s="561"/>
      <c r="G39" s="561"/>
      <c r="H39" s="561"/>
      <c r="I39" s="561"/>
      <c r="J39" s="561"/>
      <c r="K39" s="561"/>
      <c r="L39" s="561"/>
      <c r="M39" s="561"/>
      <c r="N39" s="561"/>
      <c r="O39" s="561"/>
      <c r="P39" s="561"/>
      <c r="Q39" s="561"/>
      <c r="R39" s="561"/>
      <c r="S39" s="561"/>
      <c r="T39" s="561"/>
      <c r="U39" s="48"/>
      <c r="V39" s="48"/>
      <c r="W39" s="48"/>
      <c r="X39" s="48"/>
      <c r="Y39" s="48"/>
      <c r="Z39" s="48"/>
      <c r="AA39" s="48"/>
      <c r="AB39" s="48"/>
      <c r="AC39" s="48"/>
      <c r="AD39" s="48"/>
      <c r="AE39" s="48"/>
      <c r="AF39" s="48"/>
      <c r="AG39" s="48"/>
      <c r="AH39" s="48"/>
      <c r="AI39" s="48"/>
      <c r="AJ39" s="48"/>
      <c r="AK39" s="48"/>
      <c r="AL39" s="48"/>
      <c r="AM39" s="48"/>
      <c r="AN39" s="48"/>
      <c r="AO39" s="48"/>
      <c r="AP39" s="48"/>
      <c r="AQ39" s="48"/>
      <c r="AR39" s="48"/>
      <c r="AS39" s="48"/>
      <c r="AT39" s="48"/>
      <c r="AU39" s="48"/>
      <c r="AV39" s="48"/>
      <c r="AW39" s="48"/>
    </row>
    <row r="40" spans="4:49" ht="13.8">
      <c r="D40" s="561" t="str">
        <f>IF(vstupne_udaje!D18="","",vstupne_udaje!D18)</f>
        <v/>
      </c>
      <c r="E40" s="561"/>
      <c r="F40" s="561"/>
      <c r="G40" s="561"/>
      <c r="H40" s="561"/>
      <c r="I40" s="561"/>
      <c r="J40" s="561"/>
      <c r="K40" s="561"/>
      <c r="L40" s="561"/>
      <c r="M40" s="561"/>
      <c r="N40" s="561"/>
      <c r="O40" s="561"/>
      <c r="P40" s="561"/>
      <c r="Q40" s="561"/>
      <c r="R40" s="561"/>
      <c r="S40" s="561"/>
      <c r="T40" s="561"/>
      <c r="U40" s="48"/>
      <c r="V40" s="48"/>
      <c r="W40" s="48"/>
      <c r="X40" s="48"/>
      <c r="Y40" s="48"/>
      <c r="Z40" s="48"/>
      <c r="AA40" s="48"/>
      <c r="AB40" s="48"/>
      <c r="AC40" s="48"/>
      <c r="AD40" s="48"/>
      <c r="AE40" s="48"/>
      <c r="AF40" s="48"/>
      <c r="AG40" s="48"/>
      <c r="AH40" s="48"/>
      <c r="AI40" s="48"/>
      <c r="AJ40" s="48"/>
      <c r="AK40" s="48"/>
      <c r="AL40" s="48"/>
      <c r="AM40" s="48"/>
      <c r="AN40" s="48"/>
      <c r="AO40" s="48"/>
      <c r="AP40" s="48"/>
      <c r="AQ40" s="48"/>
      <c r="AR40" s="48"/>
      <c r="AS40" s="48"/>
      <c r="AT40" s="48"/>
      <c r="AU40" s="48"/>
      <c r="AV40" s="48"/>
      <c r="AW40" s="48"/>
    </row>
    <row r="41" spans="4:49" ht="13.8">
      <c r="D41" s="561" t="str">
        <f>IF(vstupne_udaje!D19="","",vstupne_udaje!D19)</f>
        <v/>
      </c>
      <c r="E41" s="561"/>
      <c r="F41" s="561"/>
      <c r="G41" s="561"/>
      <c r="H41" s="561"/>
      <c r="I41" s="561"/>
      <c r="J41" s="561"/>
      <c r="K41" s="561"/>
      <c r="L41" s="561"/>
      <c r="M41" s="561"/>
      <c r="N41" s="561"/>
      <c r="O41" s="561"/>
      <c r="P41" s="561"/>
      <c r="Q41" s="561"/>
      <c r="R41" s="561"/>
      <c r="S41" s="561"/>
      <c r="T41" s="561"/>
      <c r="U41" s="48"/>
      <c r="V41" s="48"/>
      <c r="W41" s="48"/>
      <c r="X41" s="48"/>
      <c r="Y41" s="48"/>
      <c r="Z41" s="48"/>
      <c r="AA41" s="48"/>
      <c r="AB41" s="48"/>
      <c r="AC41" s="48"/>
      <c r="AD41" s="48"/>
      <c r="AE41" s="48"/>
      <c r="AF41" s="48"/>
      <c r="AG41" s="48"/>
      <c r="AH41" s="48"/>
      <c r="AI41" s="48"/>
      <c r="AJ41" s="48"/>
      <c r="AK41" s="48"/>
      <c r="AL41" s="48"/>
      <c r="AM41" s="48"/>
      <c r="AN41" s="48"/>
      <c r="AO41" s="48"/>
      <c r="AP41" s="48"/>
      <c r="AQ41" s="48"/>
      <c r="AR41" s="48"/>
      <c r="AS41" s="48"/>
      <c r="AT41" s="48"/>
      <c r="AU41" s="48"/>
      <c r="AV41" s="48"/>
      <c r="AW41" s="48"/>
    </row>
    <row r="42" spans="4:49" ht="13.8">
      <c r="D42" s="48"/>
      <c r="E42" s="48"/>
      <c r="F42" s="48"/>
      <c r="G42" s="48"/>
      <c r="H42" s="48"/>
      <c r="I42" s="48"/>
      <c r="J42" s="48"/>
      <c r="K42" s="48"/>
      <c r="L42" s="48"/>
      <c r="M42" s="48"/>
      <c r="N42" s="48"/>
      <c r="O42" s="48"/>
      <c r="P42" s="48"/>
      <c r="Q42" s="48"/>
      <c r="R42" s="48"/>
      <c r="S42" s="48"/>
      <c r="T42" s="48"/>
      <c r="U42" s="48"/>
      <c r="V42" s="48"/>
      <c r="W42" s="48"/>
      <c r="X42" s="48"/>
      <c r="Y42" s="48"/>
      <c r="Z42" s="48"/>
      <c r="AA42" s="48"/>
      <c r="AB42" s="48"/>
      <c r="AC42" s="48"/>
      <c r="AD42" s="48"/>
      <c r="AE42" s="48"/>
      <c r="AF42" s="48"/>
      <c r="AG42" s="48"/>
      <c r="AH42" s="48"/>
      <c r="AI42" s="48"/>
      <c r="AJ42" s="48"/>
      <c r="AK42" s="48"/>
      <c r="AL42" s="48"/>
      <c r="AM42" s="48"/>
      <c r="AN42" s="48"/>
      <c r="AO42" s="48"/>
      <c r="AP42" s="48"/>
      <c r="AQ42" s="48"/>
      <c r="AR42" s="48"/>
      <c r="AS42" s="48"/>
      <c r="AT42" s="48"/>
      <c r="AU42" s="48"/>
      <c r="AV42" s="48"/>
      <c r="AW42" s="48"/>
    </row>
    <row r="43" spans="4:49" ht="13.8">
      <c r="D43" s="48"/>
      <c r="E43" s="48"/>
      <c r="F43" s="48"/>
      <c r="G43" s="48"/>
      <c r="H43" s="48"/>
      <c r="I43" s="48"/>
      <c r="J43" s="48"/>
      <c r="K43" s="48"/>
      <c r="L43" s="48"/>
      <c r="M43" s="48"/>
      <c r="N43" s="48"/>
      <c r="O43" s="48"/>
      <c r="P43" s="48"/>
      <c r="Q43" s="48"/>
      <c r="R43" s="48"/>
      <c r="S43" s="48"/>
      <c r="T43" s="48"/>
      <c r="U43" s="48"/>
      <c r="V43" s="48"/>
      <c r="W43" s="48"/>
      <c r="X43" s="48"/>
      <c r="Y43" s="48"/>
      <c r="Z43" s="48"/>
      <c r="AA43" s="48"/>
      <c r="AB43" s="48"/>
      <c r="AC43" s="48"/>
      <c r="AD43" s="48"/>
      <c r="AE43" s="48"/>
      <c r="AF43" s="48"/>
      <c r="AG43" s="48"/>
      <c r="AH43" s="48"/>
      <c r="AI43" s="48"/>
      <c r="AJ43" s="48"/>
      <c r="AK43" s="48"/>
      <c r="AL43" s="48"/>
      <c r="AM43" s="48"/>
      <c r="AN43" s="48"/>
      <c r="AO43" s="48"/>
      <c r="AP43" s="48"/>
      <c r="AQ43" s="48"/>
      <c r="AR43" s="48"/>
      <c r="AS43" s="48"/>
      <c r="AT43" s="48"/>
      <c r="AU43" s="48"/>
      <c r="AV43" s="48"/>
      <c r="AW43" s="48"/>
    </row>
    <row r="44" spans="4:49" ht="3" customHeight="1">
      <c r="D44" s="208"/>
      <c r="E44" s="209"/>
      <c r="F44" s="209"/>
      <c r="G44" s="209"/>
      <c r="H44" s="209"/>
      <c r="I44" s="209"/>
      <c r="J44" s="209"/>
      <c r="K44" s="209"/>
      <c r="L44" s="209"/>
      <c r="M44" s="209"/>
      <c r="N44" s="209"/>
      <c r="O44" s="209"/>
      <c r="P44" s="209"/>
      <c r="Q44" s="209"/>
      <c r="R44" s="209"/>
      <c r="S44" s="209"/>
      <c r="T44" s="209"/>
      <c r="U44" s="209"/>
      <c r="V44" s="209"/>
      <c r="W44" s="209"/>
      <c r="X44" s="209"/>
      <c r="Y44" s="209"/>
      <c r="Z44" s="209"/>
      <c r="AA44" s="209"/>
      <c r="AB44" s="209"/>
      <c r="AC44" s="209"/>
      <c r="AD44" s="209"/>
      <c r="AE44" s="209"/>
      <c r="AF44" s="209"/>
      <c r="AG44" s="209"/>
      <c r="AH44" s="209"/>
      <c r="AI44" s="209"/>
      <c r="AJ44" s="209"/>
      <c r="AK44" s="209"/>
      <c r="AL44" s="209"/>
      <c r="AM44" s="209"/>
      <c r="AN44" s="209"/>
      <c r="AO44" s="209"/>
      <c r="AP44" s="209"/>
      <c r="AQ44" s="209"/>
      <c r="AR44" s="209"/>
      <c r="AS44" s="209"/>
      <c r="AT44" s="209"/>
      <c r="AU44" s="209"/>
      <c r="AV44" s="209"/>
      <c r="AW44" s="210"/>
    </row>
    <row r="45" spans="4:49" ht="13.8">
      <c r="D45" s="211" t="s">
        <v>183</v>
      </c>
      <c r="E45" s="206"/>
      <c r="F45" s="206"/>
      <c r="G45" s="206"/>
      <c r="H45" s="206"/>
      <c r="I45" s="206"/>
      <c r="J45" s="206"/>
      <c r="K45" s="206"/>
      <c r="L45" s="206"/>
      <c r="M45" s="206"/>
      <c r="N45" s="206"/>
      <c r="O45" s="206"/>
      <c r="P45" s="206"/>
      <c r="Q45" s="206"/>
      <c r="R45" s="206"/>
      <c r="S45" s="206"/>
      <c r="T45" s="206"/>
      <c r="U45" s="206"/>
      <c r="V45" s="206"/>
      <c r="W45" s="206"/>
      <c r="X45" s="206"/>
      <c r="Y45" s="206"/>
      <c r="Z45" s="206"/>
      <c r="AA45" s="206"/>
      <c r="AB45" s="206"/>
      <c r="AC45" s="206"/>
      <c r="AD45" s="206"/>
      <c r="AE45" s="206"/>
      <c r="AF45" s="206"/>
      <c r="AG45" s="206"/>
      <c r="AH45" s="206"/>
      <c r="AI45" s="206"/>
      <c r="AJ45" s="206"/>
      <c r="AK45" s="206"/>
      <c r="AL45" s="206"/>
      <c r="AM45" s="206"/>
      <c r="AN45" s="206"/>
      <c r="AO45" s="206"/>
      <c r="AP45" s="206"/>
      <c r="AQ45" s="206"/>
      <c r="AR45" s="206"/>
      <c r="AS45" s="206"/>
      <c r="AT45" s="206"/>
      <c r="AU45" s="206"/>
      <c r="AV45" s="206"/>
      <c r="AW45" s="212"/>
    </row>
    <row r="46" spans="4:49" ht="7.5" customHeight="1">
      <c r="D46" s="211"/>
      <c r="E46" s="206"/>
      <c r="F46" s="206"/>
      <c r="G46" s="206"/>
      <c r="H46" s="206"/>
      <c r="I46" s="206"/>
      <c r="J46" s="206"/>
      <c r="K46" s="206"/>
      <c r="L46" s="206"/>
      <c r="M46" s="206"/>
      <c r="N46" s="206"/>
      <c r="O46" s="206"/>
      <c r="P46" s="206"/>
      <c r="Q46" s="206"/>
      <c r="R46" s="206"/>
      <c r="S46" s="206"/>
      <c r="T46" s="206"/>
      <c r="U46" s="206"/>
      <c r="V46" s="206"/>
      <c r="W46" s="206"/>
      <c r="X46" s="206"/>
      <c r="Y46" s="206"/>
      <c r="Z46" s="206"/>
      <c r="AA46" s="206"/>
      <c r="AB46" s="206"/>
      <c r="AC46" s="206"/>
      <c r="AD46" s="206"/>
      <c r="AE46" s="206"/>
      <c r="AF46" s="206"/>
      <c r="AG46" s="206"/>
      <c r="AH46" s="206"/>
      <c r="AI46" s="206"/>
      <c r="AJ46" s="206"/>
      <c r="AK46" s="206"/>
      <c r="AL46" s="206"/>
      <c r="AM46" s="206"/>
      <c r="AN46" s="206"/>
      <c r="AO46" s="206"/>
      <c r="AP46" s="206"/>
      <c r="AQ46" s="206"/>
      <c r="AR46" s="206"/>
      <c r="AS46" s="206"/>
      <c r="AT46" s="206"/>
      <c r="AU46" s="206"/>
      <c r="AV46" s="206"/>
      <c r="AW46" s="212"/>
    </row>
    <row r="47" spans="4:49" ht="13.8">
      <c r="D47" s="211" t="s">
        <v>184</v>
      </c>
      <c r="E47" s="206"/>
      <c r="F47" s="206"/>
      <c r="G47" s="206"/>
      <c r="H47" s="206"/>
      <c r="I47" s="206"/>
      <c r="J47" s="206"/>
      <c r="K47" s="206"/>
      <c r="L47" s="206"/>
      <c r="M47" s="206"/>
      <c r="N47" s="206"/>
      <c r="O47" s="206"/>
      <c r="P47" s="206"/>
      <c r="Q47" s="206"/>
      <c r="R47" s="206"/>
      <c r="S47" s="206"/>
      <c r="T47" s="206"/>
      <c r="U47" s="206"/>
      <c r="V47" s="206"/>
      <c r="W47" s="206"/>
      <c r="X47" s="206"/>
      <c r="Y47" s="206"/>
      <c r="Z47" s="206"/>
      <c r="AA47" s="206"/>
      <c r="AB47" s="206"/>
      <c r="AC47" s="206"/>
      <c r="AD47" s="206"/>
      <c r="AE47" s="206"/>
      <c r="AF47" s="206"/>
      <c r="AG47" s="206"/>
      <c r="AH47" s="206"/>
      <c r="AI47" s="206"/>
      <c r="AJ47" s="206"/>
      <c r="AK47" s="206"/>
      <c r="AL47" s="206"/>
      <c r="AM47" s="206"/>
      <c r="AN47" s="206"/>
      <c r="AO47" s="206"/>
      <c r="AP47" s="206"/>
      <c r="AQ47" s="206"/>
      <c r="AR47" s="206"/>
      <c r="AS47" s="206"/>
      <c r="AT47" s="206"/>
      <c r="AU47" s="206"/>
      <c r="AV47" s="206"/>
      <c r="AW47" s="212"/>
    </row>
    <row r="48" spans="4:49" ht="13.8">
      <c r="D48" s="211"/>
      <c r="E48" s="206"/>
      <c r="F48" s="206"/>
      <c r="G48" s="206"/>
      <c r="H48" s="206"/>
      <c r="I48" s="206"/>
      <c r="J48" s="206"/>
      <c r="K48" s="206"/>
      <c r="L48" s="206"/>
      <c r="M48" s="206"/>
      <c r="N48" s="206"/>
      <c r="O48" s="206"/>
      <c r="P48" s="206"/>
      <c r="Q48" s="206"/>
      <c r="R48" s="206"/>
      <c r="S48" s="206"/>
      <c r="T48" s="206"/>
      <c r="U48" s="206"/>
      <c r="V48" s="206"/>
      <c r="W48" s="206"/>
      <c r="X48" s="206"/>
      <c r="Y48" s="206"/>
      <c r="Z48" s="206"/>
      <c r="AA48" s="206"/>
      <c r="AB48" s="206"/>
      <c r="AC48" s="206"/>
      <c r="AD48" s="206"/>
      <c r="AE48" s="206"/>
      <c r="AF48" s="206"/>
      <c r="AG48" s="206"/>
      <c r="AH48" s="206"/>
      <c r="AI48" s="206"/>
      <c r="AJ48" s="206"/>
      <c r="AK48" s="206"/>
      <c r="AL48" s="206"/>
      <c r="AM48" s="206"/>
      <c r="AN48" s="206"/>
      <c r="AO48" s="206"/>
      <c r="AP48" s="206"/>
      <c r="AQ48" s="206"/>
      <c r="AR48" s="206"/>
      <c r="AS48" s="206"/>
      <c r="AT48" s="206"/>
      <c r="AU48" s="206"/>
      <c r="AV48" s="206"/>
      <c r="AW48" s="212"/>
    </row>
    <row r="49" spans="4:49" ht="13.8">
      <c r="D49" s="211"/>
      <c r="E49" s="206"/>
      <c r="F49" s="206"/>
      <c r="G49" s="206"/>
      <c r="H49" s="206"/>
      <c r="I49" s="206"/>
      <c r="J49" s="206"/>
      <c r="K49" s="206"/>
      <c r="L49" s="206"/>
      <c r="M49" s="206"/>
      <c r="N49" s="206"/>
      <c r="O49" s="206"/>
      <c r="P49" s="206"/>
      <c r="Q49" s="206"/>
      <c r="R49" s="206"/>
      <c r="S49" s="206"/>
      <c r="T49" s="206"/>
      <c r="U49" s="206"/>
      <c r="V49" s="206"/>
      <c r="W49" s="206"/>
      <c r="X49" s="206"/>
      <c r="Y49" s="206"/>
      <c r="Z49" s="206"/>
      <c r="AA49" s="206"/>
      <c r="AB49" s="206"/>
      <c r="AC49" s="206"/>
      <c r="AD49" s="206"/>
      <c r="AE49" s="206"/>
      <c r="AF49" s="206"/>
      <c r="AG49" s="206"/>
      <c r="AH49" s="206"/>
      <c r="AI49" s="206"/>
      <c r="AJ49" s="206"/>
      <c r="AK49" s="206"/>
      <c r="AL49" s="206"/>
      <c r="AM49" s="206"/>
      <c r="AN49" s="206"/>
      <c r="AO49" s="206"/>
      <c r="AP49" s="206"/>
      <c r="AQ49" s="206"/>
      <c r="AR49" s="206"/>
      <c r="AS49" s="206"/>
      <c r="AT49" s="206"/>
      <c r="AU49" s="206"/>
      <c r="AV49" s="206"/>
      <c r="AW49" s="212"/>
    </row>
    <row r="50" spans="4:49" ht="13.8">
      <c r="D50" s="211"/>
      <c r="E50" s="206"/>
      <c r="F50" s="206"/>
      <c r="G50" s="206"/>
      <c r="H50" s="206"/>
      <c r="I50" s="206"/>
      <c r="J50" s="206"/>
      <c r="K50" s="206"/>
      <c r="L50" s="206"/>
      <c r="M50" s="206"/>
      <c r="N50" s="206"/>
      <c r="O50" s="206"/>
      <c r="P50" s="206"/>
      <c r="Q50" s="206"/>
      <c r="R50" s="206"/>
      <c r="S50" s="206"/>
      <c r="T50" s="206"/>
      <c r="U50" s="206"/>
      <c r="V50" s="206"/>
      <c r="W50" s="206"/>
      <c r="X50" s="206"/>
      <c r="Y50" s="206"/>
      <c r="Z50" s="206"/>
      <c r="AA50" s="206"/>
      <c r="AB50" s="206"/>
      <c r="AC50" s="206"/>
      <c r="AD50" s="206"/>
      <c r="AE50" s="206"/>
      <c r="AF50" s="206"/>
      <c r="AG50" s="206"/>
      <c r="AH50" s="206"/>
      <c r="AI50" s="206"/>
      <c r="AJ50" s="206"/>
      <c r="AK50" s="206"/>
      <c r="AL50" s="206"/>
      <c r="AM50" s="206"/>
      <c r="AN50" s="206"/>
      <c r="AO50" s="206"/>
      <c r="AP50" s="206"/>
      <c r="AQ50" s="206"/>
      <c r="AR50" s="206"/>
      <c r="AS50" s="206"/>
      <c r="AT50" s="206"/>
      <c r="AU50" s="206"/>
      <c r="AV50" s="206"/>
      <c r="AW50" s="212"/>
    </row>
    <row r="51" spans="4:49" ht="13.8">
      <c r="D51" s="642" t="s">
        <v>159</v>
      </c>
      <c r="E51" s="643"/>
      <c r="F51" s="643"/>
      <c r="G51" s="643"/>
      <c r="H51" s="643"/>
      <c r="I51" s="643"/>
      <c r="J51" s="643"/>
      <c r="K51" s="643"/>
      <c r="L51" s="643"/>
      <c r="M51" s="643"/>
      <c r="N51" s="643"/>
      <c r="O51" s="643"/>
      <c r="P51" s="643"/>
      <c r="Q51" s="643"/>
      <c r="R51" s="643"/>
      <c r="S51" s="643"/>
      <c r="T51" s="643"/>
      <c r="U51" s="206"/>
      <c r="V51" s="206"/>
      <c r="W51" s="206"/>
      <c r="X51" s="206"/>
      <c r="Y51" s="206"/>
      <c r="Z51" s="206"/>
      <c r="AA51" s="206"/>
      <c r="AB51" s="206"/>
      <c r="AC51" s="206"/>
      <c r="AD51" s="206"/>
      <c r="AE51" s="206"/>
      <c r="AF51" s="206"/>
      <c r="AG51" s="206"/>
      <c r="AH51" s="206"/>
      <c r="AI51" s="206"/>
      <c r="AJ51" s="206"/>
      <c r="AK51" s="206"/>
      <c r="AL51" s="206"/>
      <c r="AM51" s="206"/>
      <c r="AN51" s="206"/>
      <c r="AO51" s="206"/>
      <c r="AP51" s="206"/>
      <c r="AQ51" s="206"/>
      <c r="AR51" s="206"/>
      <c r="AS51" s="206"/>
      <c r="AT51" s="206"/>
      <c r="AU51" s="206"/>
      <c r="AV51" s="206"/>
      <c r="AW51" s="212"/>
    </row>
    <row r="52" spans="4:49" ht="13.8">
      <c r="D52" s="642" t="str">
        <f>IF(vstupne_udaje!D33="","",vstupne_udaje!D33)</f>
        <v/>
      </c>
      <c r="E52" s="643"/>
      <c r="F52" s="643"/>
      <c r="G52" s="643"/>
      <c r="H52" s="643"/>
      <c r="I52" s="643"/>
      <c r="J52" s="643"/>
      <c r="K52" s="643"/>
      <c r="L52" s="643"/>
      <c r="M52" s="643"/>
      <c r="N52" s="643"/>
      <c r="O52" s="643"/>
      <c r="P52" s="643"/>
      <c r="Q52" s="643"/>
      <c r="R52" s="643"/>
      <c r="S52" s="643"/>
      <c r="T52" s="643"/>
      <c r="U52" s="643"/>
      <c r="V52" s="643"/>
      <c r="W52" s="643"/>
      <c r="X52" s="643"/>
      <c r="Y52" s="643"/>
      <c r="Z52" s="206"/>
      <c r="AA52" s="206"/>
      <c r="AB52" s="206"/>
      <c r="AC52" s="206"/>
      <c r="AD52" s="206"/>
      <c r="AE52" s="206"/>
      <c r="AF52" s="206"/>
      <c r="AG52" s="206"/>
      <c r="AH52" s="206"/>
      <c r="AI52" s="206"/>
      <c r="AJ52" s="206"/>
      <c r="AK52" s="206"/>
      <c r="AL52" s="206"/>
      <c r="AM52" s="206"/>
      <c r="AN52" s="206"/>
      <c r="AO52" s="206"/>
      <c r="AP52" s="206"/>
      <c r="AQ52" s="206"/>
      <c r="AR52" s="206"/>
      <c r="AS52" s="206"/>
      <c r="AT52" s="206"/>
      <c r="AU52" s="206"/>
      <c r="AV52" s="206"/>
      <c r="AW52" s="212"/>
    </row>
    <row r="53" spans="4:49" ht="13.8">
      <c r="D53" s="642" t="str">
        <f>IF(vstupne_udaje!D34="","",vstupne_udaje!D34)</f>
        <v/>
      </c>
      <c r="E53" s="643"/>
      <c r="F53" s="643"/>
      <c r="G53" s="643"/>
      <c r="H53" s="643"/>
      <c r="I53" s="643"/>
      <c r="J53" s="643"/>
      <c r="K53" s="643"/>
      <c r="L53" s="643"/>
      <c r="M53" s="643"/>
      <c r="N53" s="643"/>
      <c r="O53" s="643"/>
      <c r="P53" s="643"/>
      <c r="Q53" s="643"/>
      <c r="R53" s="643"/>
      <c r="S53" s="643"/>
      <c r="T53" s="643"/>
      <c r="U53" s="643"/>
      <c r="V53" s="643"/>
      <c r="W53" s="643"/>
      <c r="X53" s="643"/>
      <c r="Y53" s="643"/>
      <c r="Z53" s="206"/>
      <c r="AA53" s="206"/>
      <c r="AB53" s="206"/>
      <c r="AC53" s="206"/>
      <c r="AD53" s="206"/>
      <c r="AE53" s="206"/>
      <c r="AF53" s="206"/>
      <c r="AG53" s="206"/>
      <c r="AH53" s="206"/>
      <c r="AI53" s="206"/>
      <c r="AJ53" s="206"/>
      <c r="AK53" s="206"/>
      <c r="AL53" s="206"/>
      <c r="AM53" s="206"/>
      <c r="AN53" s="206"/>
      <c r="AO53" s="206"/>
      <c r="AP53" s="206"/>
      <c r="AQ53" s="206"/>
      <c r="AR53" s="206"/>
      <c r="AS53" s="206"/>
      <c r="AT53" s="206"/>
      <c r="AU53" s="206"/>
      <c r="AV53" s="206"/>
      <c r="AW53" s="212"/>
    </row>
    <row r="54" spans="4:49" ht="3" customHeight="1">
      <c r="D54" s="215"/>
      <c r="E54" s="216"/>
      <c r="F54" s="216"/>
      <c r="G54" s="216"/>
      <c r="H54" s="216"/>
      <c r="I54" s="216"/>
      <c r="J54" s="216"/>
      <c r="K54" s="216"/>
      <c r="L54" s="216"/>
      <c r="M54" s="216"/>
      <c r="N54" s="216"/>
      <c r="O54" s="216"/>
      <c r="P54" s="216"/>
      <c r="Q54" s="216"/>
      <c r="R54" s="216"/>
      <c r="S54" s="216"/>
      <c r="T54" s="216"/>
      <c r="U54" s="206"/>
      <c r="V54" s="206"/>
      <c r="W54" s="206"/>
      <c r="X54" s="206"/>
      <c r="Y54" s="206"/>
      <c r="Z54" s="206"/>
      <c r="AA54" s="206"/>
      <c r="AB54" s="206"/>
      <c r="AC54" s="206"/>
      <c r="AD54" s="206"/>
      <c r="AE54" s="206"/>
      <c r="AF54" s="206"/>
      <c r="AG54" s="206"/>
      <c r="AH54" s="206"/>
      <c r="AI54" s="206"/>
      <c r="AJ54" s="206"/>
      <c r="AK54" s="206"/>
      <c r="AL54" s="206"/>
      <c r="AM54" s="206"/>
      <c r="AN54" s="206"/>
      <c r="AO54" s="206"/>
      <c r="AP54" s="206"/>
      <c r="AQ54" s="206"/>
      <c r="AR54" s="206"/>
      <c r="AS54" s="206"/>
      <c r="AT54" s="206"/>
      <c r="AU54" s="206"/>
      <c r="AV54" s="206"/>
      <c r="AW54" s="212"/>
    </row>
    <row r="55" spans="4:49" ht="13.8">
      <c r="D55" s="211" t="s">
        <v>185</v>
      </c>
      <c r="E55" s="206"/>
      <c r="F55" s="206"/>
      <c r="G55" s="206"/>
      <c r="H55" s="206"/>
      <c r="I55" s="206"/>
      <c r="J55" s="206"/>
      <c r="K55" s="206"/>
      <c r="L55" s="206"/>
      <c r="M55" s="206"/>
      <c r="N55" s="206"/>
      <c r="O55" s="206"/>
      <c r="P55" s="206"/>
      <c r="Q55" s="206"/>
      <c r="R55" s="206"/>
      <c r="S55" s="206"/>
      <c r="T55" s="206"/>
      <c r="U55" s="206"/>
      <c r="V55" s="206"/>
      <c r="W55" s="206"/>
      <c r="X55" s="206"/>
      <c r="Y55" s="206"/>
      <c r="Z55" s="206"/>
      <c r="AA55" s="206"/>
      <c r="AB55" s="206"/>
      <c r="AC55" s="206"/>
      <c r="AD55" s="206"/>
      <c r="AE55" s="206"/>
      <c r="AF55" s="206"/>
      <c r="AG55" s="206"/>
      <c r="AH55" s="206"/>
      <c r="AI55" s="206"/>
      <c r="AJ55" s="206"/>
      <c r="AK55" s="206"/>
      <c r="AL55" s="206"/>
      <c r="AM55" s="206"/>
      <c r="AN55" s="206"/>
      <c r="AO55" s="206"/>
      <c r="AP55" s="206"/>
      <c r="AQ55" s="206"/>
      <c r="AR55" s="206"/>
      <c r="AS55" s="206"/>
      <c r="AT55" s="206"/>
      <c r="AU55" s="206"/>
      <c r="AV55" s="206"/>
      <c r="AW55" s="212"/>
    </row>
    <row r="56" spans="4:49" ht="3" customHeight="1">
      <c r="D56" s="213"/>
      <c r="E56" s="207"/>
      <c r="F56" s="207"/>
      <c r="G56" s="207"/>
      <c r="H56" s="207"/>
      <c r="I56" s="207"/>
      <c r="J56" s="207"/>
      <c r="K56" s="207"/>
      <c r="L56" s="207"/>
      <c r="M56" s="207"/>
      <c r="N56" s="207"/>
      <c r="O56" s="207"/>
      <c r="P56" s="207"/>
      <c r="Q56" s="207"/>
      <c r="R56" s="207"/>
      <c r="S56" s="207"/>
      <c r="T56" s="207"/>
      <c r="U56" s="207"/>
      <c r="V56" s="207"/>
      <c r="W56" s="207"/>
      <c r="X56" s="207"/>
      <c r="Y56" s="207"/>
      <c r="Z56" s="207"/>
      <c r="AA56" s="207"/>
      <c r="AB56" s="207"/>
      <c r="AC56" s="207"/>
      <c r="AD56" s="207"/>
      <c r="AE56" s="207"/>
      <c r="AF56" s="207"/>
      <c r="AG56" s="207"/>
      <c r="AH56" s="207"/>
      <c r="AI56" s="207"/>
      <c r="AJ56" s="207"/>
      <c r="AK56" s="207"/>
      <c r="AL56" s="207"/>
      <c r="AM56" s="207"/>
      <c r="AN56" s="207"/>
      <c r="AO56" s="207"/>
      <c r="AP56" s="207"/>
      <c r="AQ56" s="207"/>
      <c r="AR56" s="207"/>
      <c r="AS56" s="207"/>
      <c r="AT56" s="207"/>
      <c r="AU56" s="207"/>
      <c r="AV56" s="207"/>
      <c r="AW56" s="214"/>
    </row>
    <row r="57" spans="4:49" ht="13.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48"/>
      <c r="AL57" s="48"/>
      <c r="AM57" s="48"/>
      <c r="AN57" s="48"/>
      <c r="AO57" s="48"/>
      <c r="AP57" s="48"/>
      <c r="AQ57" s="48"/>
      <c r="AR57" s="48"/>
      <c r="AS57" s="48"/>
      <c r="AT57" s="48"/>
      <c r="AU57" s="48"/>
      <c r="AV57" s="48"/>
      <c r="AW57" s="48"/>
    </row>
    <row r="58" spans="4:49" ht="13.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c r="AI58" s="48"/>
      <c r="AJ58" s="48"/>
      <c r="AK58" s="48"/>
      <c r="AL58" s="48"/>
      <c r="AM58" s="48"/>
      <c r="AN58" s="48"/>
      <c r="AO58" s="48"/>
      <c r="AP58" s="48"/>
      <c r="AQ58" s="48"/>
      <c r="AR58" s="48"/>
      <c r="AS58" s="48"/>
      <c r="AT58" s="48"/>
      <c r="AU58" s="48"/>
      <c r="AV58" s="48"/>
      <c r="AW58" s="48"/>
    </row>
    <row r="59" spans="4:49" ht="13.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c r="AI59" s="48"/>
      <c r="AJ59" s="48"/>
      <c r="AK59" s="48"/>
      <c r="AL59" s="48"/>
      <c r="AM59" s="48"/>
      <c r="AN59" s="48"/>
      <c r="AO59" s="48"/>
      <c r="AP59" s="48"/>
      <c r="AQ59" s="48"/>
      <c r="AR59" s="48"/>
      <c r="AS59" s="48"/>
      <c r="AT59" s="48"/>
      <c r="AU59" s="48"/>
      <c r="AV59" s="48"/>
      <c r="AW59" s="48"/>
    </row>
    <row r="60" spans="4:49" ht="13.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c r="AI60" s="48"/>
      <c r="AJ60" s="48"/>
      <c r="AK60" s="48"/>
      <c r="AL60" s="48"/>
      <c r="AM60" s="48"/>
      <c r="AN60" s="48"/>
      <c r="AO60" s="48"/>
      <c r="AP60" s="48"/>
      <c r="AQ60" s="48"/>
      <c r="AR60" s="48"/>
      <c r="AS60" s="48"/>
      <c r="AT60" s="48"/>
      <c r="AU60" s="48"/>
      <c r="AV60" s="48"/>
      <c r="AW60" s="48"/>
    </row>
  </sheetData>
  <sheetProtection algorithmName="SHA-512" hashValue="o6lkdaBAtP6LnB7JPfDqIhBkmApBV4NPymHRUIm0lrkA0zt3sPwfKLfgo+tyTOWXBHLLRJVrqKXL2FNO1dyThQ==" saltValue="a1oO7IJnHIcXr1TvTO6ZkQ==" spinCount="100000" sheet="1" objects="1" scenarios="1"/>
  <mergeCells count="27">
    <mergeCell ref="D17:AW17"/>
    <mergeCell ref="AQ2:AW2"/>
    <mergeCell ref="D5:AW5"/>
    <mergeCell ref="D7:AW7"/>
    <mergeCell ref="D9:AW9"/>
    <mergeCell ref="D10:AW10"/>
    <mergeCell ref="D11:AW11"/>
    <mergeCell ref="D12:AW12"/>
    <mergeCell ref="D13:AW13"/>
    <mergeCell ref="D14:AW14"/>
    <mergeCell ref="D15:AW15"/>
    <mergeCell ref="D16:AW16"/>
    <mergeCell ref="AJ31:AS31"/>
    <mergeCell ref="D18:AW18"/>
    <mergeCell ref="D19:AW19"/>
    <mergeCell ref="D20:AW20"/>
    <mergeCell ref="D21:AW21"/>
    <mergeCell ref="D25:AW25"/>
    <mergeCell ref="AJ29:AN29"/>
    <mergeCell ref="AO29:AS29"/>
    <mergeCell ref="D52:Y52"/>
    <mergeCell ref="D53:Y53"/>
    <mergeCell ref="D41:T41"/>
    <mergeCell ref="D51:T51"/>
    <mergeCell ref="E37:G37"/>
    <mergeCell ref="D39:T39"/>
    <mergeCell ref="D40:T40"/>
  </mergeCells>
  <conditionalFormatting sqref="AJ31">
    <cfRule type="expression" dxfId="0" priority="1">
      <formula>$AJ$31=""</formula>
    </cfRule>
  </conditionalFormatting>
  <pageMargins left="0.78740157480314965" right="0.78740157480314965" top="0.74803149606299213" bottom="0.74803149606299213" header="0" footer="0.31496062992125984"/>
  <pageSetup paperSize="9" scale="98" fitToHeight="0" orientation="portrait" r:id="rId1"/>
  <headerFooter differentFirst="1">
    <oddFooter>&amp;R&amp;"Times New Roman,Normálne"&amp;12&amp;P/&amp;N</oddFooter>
    <firstFooter>&amp;L&amp;"Times New Roman,Tučné"&amp;12 1+067+01+99+0918&amp;R&amp;"Times New Roman,Normálne"&amp;12&amp;P/&amp;N</first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40</vt:i4>
      </vt:variant>
    </vt:vector>
  </HeadingPairs>
  <TitlesOfParts>
    <vt:vector size="50" baseType="lpstr">
      <vt:lpstr>sadzby</vt:lpstr>
      <vt:lpstr>POMOC</vt:lpstr>
      <vt:lpstr>Postup</vt:lpstr>
      <vt:lpstr>Poistne</vt:lpstr>
      <vt:lpstr>Ponuka</vt:lpstr>
      <vt:lpstr>vstupne_udaje</vt:lpstr>
      <vt:lpstr>PZ</vt:lpstr>
      <vt:lpstr>Priloha_c1</vt:lpstr>
      <vt:lpstr>Priloha_c2</vt:lpstr>
      <vt:lpstr>Potvrdenie_o_zverejneni</vt:lpstr>
      <vt:lpstr>avizo</vt:lpstr>
      <vt:lpstr>cislo</vt:lpstr>
      <vt:lpstr>cislo_PZ</vt:lpstr>
      <vt:lpstr>dd_cnl</vt:lpstr>
      <vt:lpstr>dd_zam</vt:lpstr>
      <vt:lpstr>doba</vt:lpstr>
      <vt:lpstr>odcud</vt:lpstr>
      <vt:lpstr>pocet_zam</vt:lpstr>
      <vt:lpstr>pocet_ziak</vt:lpstr>
      <vt:lpstr>Poistne!Print_Area</vt:lpstr>
      <vt:lpstr>Ponuka!Print_Area</vt:lpstr>
      <vt:lpstr>Postup!Print_Area</vt:lpstr>
      <vt:lpstr>Potvrdenie_o_zverejneni!Print_Area</vt:lpstr>
      <vt:lpstr>Priloha_c1!Print_Area</vt:lpstr>
      <vt:lpstr>Priloha_c2!Print_Area</vt:lpstr>
      <vt:lpstr>PZ!Print_Area</vt:lpstr>
      <vt:lpstr>sadzby!Print_Area</vt:lpstr>
      <vt:lpstr>print_end_1</vt:lpstr>
      <vt:lpstr>print_start_1</vt:lpstr>
      <vt:lpstr>spolu</vt:lpstr>
      <vt:lpstr>su</vt:lpstr>
      <vt:lpstr>su_zam</vt:lpstr>
      <vt:lpstr>subjek</vt:lpstr>
      <vt:lpstr>t</vt:lpstr>
      <vt:lpstr>test1</vt:lpstr>
      <vt:lpstr>test2</vt:lpstr>
      <vt:lpstr>tnu</vt:lpstr>
      <vt:lpstr>tnu_zam</vt:lpstr>
      <vt:lpstr>typ_skoly</vt:lpstr>
      <vt:lpstr>uod</vt:lpstr>
      <vt:lpstr>Variant</vt:lpstr>
      <vt:lpstr>zamest</vt:lpstr>
      <vt:lpstr>zlava1</vt:lpstr>
      <vt:lpstr>zlava2</vt:lpstr>
      <vt:lpstr>zlava3</vt:lpstr>
      <vt:lpstr>zlavy</vt:lpstr>
      <vt:lpstr>zodpov</vt:lpstr>
      <vt:lpstr>zp</vt:lpstr>
      <vt:lpstr>zp_uc</vt:lpstr>
      <vt:lpstr>zverejni</vt:lpstr>
    </vt:vector>
  </TitlesOfParts>
  <Company>UNION poistovna 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hulmanova</dc:creator>
  <cp:lastModifiedBy>Švecová Beáta</cp:lastModifiedBy>
  <cp:lastPrinted>2022-08-10T07:23:13Z</cp:lastPrinted>
  <dcterms:created xsi:type="dcterms:W3CDTF">2008-11-06T12:57:32Z</dcterms:created>
  <dcterms:modified xsi:type="dcterms:W3CDTF">2022-08-22T09:03:07Z</dcterms:modified>
</cp:coreProperties>
</file>